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ocuments/DOKUMEN/PEMBELAJARAN DARING/PERTEMUAN 14/"/>
    </mc:Choice>
  </mc:AlternateContent>
  <xr:revisionPtr revIDLastSave="0" documentId="13_ncr:1_{C0ED26D1-2BE9-204D-929E-99A59354B279}" xr6:coauthVersionLast="45" xr6:coauthVersionMax="45" xr10:uidLastSave="{00000000-0000-0000-0000-000000000000}"/>
  <bookViews>
    <workbookView xWindow="200" yWindow="460" windowWidth="25400" windowHeight="14260" firstSheet="1" activeTab="6" xr2:uid="{2094A7BF-BE66-D849-BE8C-403E8CBCEEE6}"/>
  </bookViews>
  <sheets>
    <sheet name="TRANSAKSI" sheetId="1" r:id="rId1"/>
    <sheet name="JURNAL " sheetId="2" r:id="rId2"/>
    <sheet name="BUKU BESAR" sheetId="3" r:id="rId3"/>
    <sheet name="SOAL PERTEMUAN 14" sheetId="6" r:id="rId4"/>
    <sheet name="BUKU BESAR (2)" sheetId="7" r:id="rId5"/>
    <sheet name="INFORMASI TAMBAHAN" sheetId="8" r:id="rId6"/>
    <sheet name="LAPORAN FISKAL" sheetId="4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4" l="1"/>
  <c r="D41" i="4"/>
  <c r="D22" i="4"/>
  <c r="F6" i="4"/>
  <c r="B214" i="7"/>
  <c r="E32" i="6"/>
  <c r="C58" i="7" s="1"/>
  <c r="B213" i="7"/>
  <c r="D9" i="6"/>
  <c r="E10" i="6" s="1"/>
  <c r="C57" i="7" s="1"/>
  <c r="B274" i="7"/>
  <c r="B60" i="7"/>
  <c r="B59" i="7"/>
  <c r="B102" i="7"/>
  <c r="B103" i="7" s="1"/>
  <c r="B124" i="7"/>
  <c r="B125" i="7" s="1"/>
  <c r="B247" i="7"/>
  <c r="B248" i="7" s="1"/>
  <c r="E44" i="8"/>
  <c r="E41" i="8"/>
  <c r="G36" i="8"/>
  <c r="G32" i="8"/>
  <c r="D11" i="8"/>
  <c r="E12" i="8" s="1"/>
  <c r="E9" i="8"/>
  <c r="F5" i="4" s="1"/>
  <c r="E6" i="8"/>
  <c r="C36" i="7"/>
  <c r="B36" i="7"/>
  <c r="B118" i="7"/>
  <c r="B111" i="7"/>
  <c r="B96" i="7"/>
  <c r="B89" i="7"/>
  <c r="B82" i="7"/>
  <c r="B75" i="7"/>
  <c r="B45" i="7"/>
  <c r="B242" i="7"/>
  <c r="C286" i="7"/>
  <c r="B236" i="7"/>
  <c r="B230" i="7"/>
  <c r="C266" i="7"/>
  <c r="B223" i="7"/>
  <c r="C174" i="7"/>
  <c r="C133" i="7"/>
  <c r="A253" i="7"/>
  <c r="A209" i="7" s="1"/>
  <c r="C209" i="7"/>
  <c r="B325" i="7"/>
  <c r="B326" i="7" s="1"/>
  <c r="E48" i="6"/>
  <c r="B62" i="7" s="1"/>
  <c r="E44" i="6"/>
  <c r="E37" i="6"/>
  <c r="D35" i="6"/>
  <c r="E29" i="6"/>
  <c r="E28" i="6"/>
  <c r="E27" i="6"/>
  <c r="D23" i="6"/>
  <c r="D22" i="6"/>
  <c r="E19" i="6"/>
  <c r="C304" i="7" s="1"/>
  <c r="D17" i="6"/>
  <c r="E18" i="6" s="1"/>
  <c r="D13" i="6"/>
  <c r="E14" i="6" s="1"/>
  <c r="C166" i="7"/>
  <c r="C168" i="7" s="1"/>
  <c r="E5" i="4" s="1"/>
  <c r="G8" i="4" l="1"/>
  <c r="E36" i="6"/>
  <c r="B275" i="7"/>
  <c r="C66" i="7"/>
  <c r="B216" i="7"/>
  <c r="E8" i="4" s="1"/>
  <c r="B273" i="7"/>
  <c r="B272" i="7"/>
  <c r="B37" i="7"/>
  <c r="E24" i="6"/>
  <c r="E7" i="6"/>
  <c r="C259" i="7" s="1"/>
  <c r="E55" i="6" l="1"/>
  <c r="B63" i="7" s="1"/>
  <c r="B66" i="7" s="1"/>
  <c r="B67" i="7" s="1"/>
  <c r="B277" i="7"/>
  <c r="H42" i="4" l="1"/>
  <c r="H41" i="4"/>
  <c r="H6" i="4"/>
  <c r="D33" i="4"/>
  <c r="D32" i="4"/>
  <c r="D17" i="4"/>
  <c r="D31" i="4"/>
  <c r="D30" i="4"/>
  <c r="D29" i="4"/>
  <c r="D28" i="4"/>
  <c r="D21" i="4"/>
  <c r="D19" i="4"/>
  <c r="D20" i="4"/>
  <c r="D16" i="4"/>
  <c r="N35" i="3"/>
  <c r="D15" i="4"/>
  <c r="N29" i="3"/>
  <c r="N23" i="3"/>
  <c r="D14" i="4" s="1"/>
  <c r="N16" i="3"/>
  <c r="D13" i="4" s="1"/>
  <c r="I43" i="4" l="1"/>
  <c r="I38" i="4"/>
  <c r="D34" i="4"/>
  <c r="E11" i="4"/>
  <c r="E25" i="4"/>
  <c r="I7" i="4"/>
  <c r="I10" i="4"/>
  <c r="K15" i="3"/>
  <c r="F63" i="2"/>
  <c r="F64" i="2" s="1"/>
  <c r="E62" i="2" s="1"/>
  <c r="N9" i="3"/>
  <c r="K9" i="3"/>
  <c r="F26" i="2"/>
  <c r="B75" i="3"/>
  <c r="B68" i="3"/>
  <c r="B97" i="3"/>
  <c r="B90" i="3"/>
  <c r="B82" i="3"/>
  <c r="B61" i="3"/>
  <c r="G9" i="3"/>
  <c r="B38" i="3"/>
  <c r="B52" i="3"/>
  <c r="C52" i="3"/>
  <c r="C29" i="3"/>
  <c r="B29" i="3"/>
  <c r="B30" i="3" s="1"/>
  <c r="S30" i="3"/>
  <c r="S16" i="3"/>
  <c r="O5" i="3"/>
  <c r="Q5" i="3"/>
  <c r="M5" i="3" s="1"/>
  <c r="B135" i="2"/>
  <c r="B124" i="2"/>
  <c r="B116" i="2"/>
  <c r="B111" i="2"/>
  <c r="B106" i="2"/>
  <c r="B102" i="2"/>
  <c r="B97" i="2"/>
  <c r="B92" i="2"/>
  <c r="B87" i="2"/>
  <c r="B74" i="2"/>
  <c r="B69" i="2"/>
  <c r="B62" i="2"/>
  <c r="B58" i="2"/>
  <c r="B51" i="2"/>
  <c r="B46" i="2"/>
  <c r="B42" i="2"/>
  <c r="B37" i="2"/>
  <c r="B32" i="2"/>
  <c r="B23" i="2"/>
  <c r="B19" i="2"/>
  <c r="B15" i="2"/>
  <c r="B10" i="2"/>
  <c r="B3" i="2"/>
  <c r="F85" i="2"/>
  <c r="F83" i="2"/>
  <c r="F136" i="2"/>
  <c r="E121" i="2"/>
  <c r="E120" i="2" s="1"/>
  <c r="F118" i="2"/>
  <c r="E113" i="2"/>
  <c r="F114" i="2" s="1"/>
  <c r="F112" i="2"/>
  <c r="E108" i="2"/>
  <c r="F109" i="2" s="1"/>
  <c r="E103" i="2"/>
  <c r="F104" i="2" s="1"/>
  <c r="E97" i="2"/>
  <c r="E92" i="2"/>
  <c r="E89" i="2"/>
  <c r="E88" i="2"/>
  <c r="E74" i="2"/>
  <c r="E75" i="2" s="1"/>
  <c r="F72" i="2"/>
  <c r="E70" i="2"/>
  <c r="E66" i="2"/>
  <c r="F67" i="2" s="1"/>
  <c r="E58" i="2"/>
  <c r="F56" i="2"/>
  <c r="F52" i="2"/>
  <c r="F53" i="2" s="1"/>
  <c r="E48" i="2"/>
  <c r="E47" i="2"/>
  <c r="E43" i="2"/>
  <c r="E42" i="2" s="1"/>
  <c r="F39" i="2"/>
  <c r="E38" i="2"/>
  <c r="F35" i="2"/>
  <c r="E33" i="2"/>
  <c r="E24" i="2"/>
  <c r="E20" i="2"/>
  <c r="F21" i="2" s="1"/>
  <c r="I11" i="4" l="1"/>
  <c r="I34" i="4"/>
  <c r="I39" i="4" s="1"/>
  <c r="F22" i="4"/>
  <c r="H22" i="4" s="1"/>
  <c r="I25" i="4" s="1"/>
  <c r="B53" i="3"/>
  <c r="E46" i="2"/>
  <c r="F34" i="2"/>
  <c r="E37" i="2"/>
  <c r="F76" i="2"/>
  <c r="E25" i="2"/>
  <c r="F90" i="2"/>
  <c r="E59" i="2"/>
  <c r="F60" i="2" s="1"/>
  <c r="E98" i="2"/>
  <c r="F27" i="2"/>
  <c r="E23" i="2" s="1"/>
  <c r="E94" i="2"/>
  <c r="E99" i="2"/>
  <c r="E93" i="2"/>
  <c r="F12" i="2"/>
  <c r="F13" i="2" s="1"/>
  <c r="E11" i="2"/>
  <c r="E15" i="2"/>
  <c r="F4" i="2"/>
  <c r="I26" i="4" l="1"/>
  <c r="I40" i="4" s="1"/>
  <c r="I44" i="4" s="1"/>
  <c r="F5" i="2"/>
  <c r="F95" i="2"/>
  <c r="F100" i="2"/>
  <c r="E16" i="2"/>
  <c r="F17" i="2" s="1"/>
  <c r="E47" i="4" l="1"/>
  <c r="F32" i="8" s="1"/>
  <c r="D55" i="4" l="1"/>
  <c r="F36" i="8"/>
  <c r="D56" i="4" l="1"/>
  <c r="E57" i="4" s="1"/>
  <c r="E58" i="4" s="1"/>
</calcChain>
</file>

<file path=xl/sharedStrings.xml><?xml version="1.0" encoding="utf-8"?>
<sst xmlns="http://schemas.openxmlformats.org/spreadsheetml/2006/main" count="762" uniqueCount="277">
  <si>
    <t>TANGGAL</t>
  </si>
  <si>
    <t>TRANSAKSI</t>
  </si>
  <si>
    <t>Melakukan pembelian barang 25 unit @Rp.8.332.050 (termasuk PPN) secara tunai</t>
  </si>
  <si>
    <t>Melakukan penjualan 5 unit @Rp.87.500.000, barang dagangan secara tunai dengan harga pokok Rp.75.000.000/unit belum termasuk PPN kepada PT Y (PKP)</t>
  </si>
  <si>
    <t>Menerima pembayaran sewa gudang dari Tn. OH (non PKP) sebesar Rp.175.000.000 untuk 1 tahun.</t>
  </si>
  <si>
    <t>PT. A sebagai PKP (memiliki API) perusahaan dagang, melaksanakan transaksi-transaksi di Tahun 2018 sebagai berikut:</t>
  </si>
  <si>
    <t>Menerima penghasilan Royalti dari PT. YO sebesar Rp.55.000.000</t>
  </si>
  <si>
    <t>Menerima pembayaran sewa Gudang pada PT.EH (PKP) sebesar Rp.175.000.000 untuk 1 tahun</t>
  </si>
  <si>
    <t>Perusahaan menghabiskan biaya sebanyak Rp.350.000.000 untuk mendapatkan izin pengurusan pendirian perusahaan. Biaya ini diberlakukan sebagai asset lainnya dan memiliki masa manfaat 5 tahun (straight line method).</t>
  </si>
  <si>
    <t>Membayar dividen Rp.2.298.000 kepada pemegang saham yaitu PT A (10%), PT.B (20%), PT.C (30%) dan PT.D (40%)</t>
  </si>
  <si>
    <t>Membayar Bunga Pinjaman kepada PT.BACA dan PT.BAZ masing-masing sebesar Rp.375.000.000 dan Rp.145.750.000</t>
  </si>
  <si>
    <t>Membayar gaji karyawan asing Rp.560.000.000</t>
  </si>
  <si>
    <t>Meminjam uang dari bank dengan menyerahkan promes senilai Rp.58.000.000 dengan bunga diskonto 10%, dan jangka waktu 12 bulan</t>
  </si>
  <si>
    <t>Menjual obligasi dengan nilai nominal Rp.540.000.000 (bunga 25% pertahun) seharga Rp.750.000.000 (obligasi tidak diperdagangkan di Bursa Efek).</t>
  </si>
  <si>
    <t>Memperoleh bunga atas deposito dari BCA sebesar Rp.157.550.000</t>
  </si>
  <si>
    <t>Melakukan penjualan barang dagangan Rp.640.475.000 (termasuk PPN) secara kredit kepada PT.OUW (PKP) dengan HPP sebesar Rp.436.687.500</t>
  </si>
  <si>
    <t>Penjualan</t>
  </si>
  <si>
    <t>Piutang Dagang</t>
  </si>
  <si>
    <t>HPP</t>
  </si>
  <si>
    <t>Persediaan</t>
  </si>
  <si>
    <t>URAIAN</t>
  </si>
  <si>
    <t>Kas</t>
  </si>
  <si>
    <t>Membeli Mesin Foto Copy 5 unit secara tunai dari PT. U seharga perunitnya adalah Rp.34.845.800 (sudah termasuk PPN 10%)</t>
  </si>
  <si>
    <t>PPN Keluaran</t>
  </si>
  <si>
    <t>Menerima pembayaran sewa Gudang Rp.175.000.000 untuk 1 tahun secara tunai</t>
  </si>
  <si>
    <t>PPh Pasal 4 (2)</t>
  </si>
  <si>
    <t>Mesin FC</t>
  </si>
  <si>
    <t>AKUN</t>
  </si>
  <si>
    <t>DR</t>
  </si>
  <si>
    <t>CR</t>
  </si>
  <si>
    <t xml:space="preserve">Utang </t>
  </si>
  <si>
    <t>PPN Masukan</t>
  </si>
  <si>
    <t>Melakukan pembelian barang dagangan Rp.150.000.000 belum termasuk PPN, secara kredit.</t>
  </si>
  <si>
    <t>Pembelian barang dagangan Rp.150.000.000 belum termasuk PPN, kredit.</t>
  </si>
  <si>
    <t xml:space="preserve">Persediaan </t>
  </si>
  <si>
    <t>Utang</t>
  </si>
  <si>
    <t>PPh 22</t>
  </si>
  <si>
    <t>PPN Pemungut</t>
  </si>
  <si>
    <t>penjualan</t>
  </si>
  <si>
    <t>Beban Jasa Konstruksi</t>
  </si>
  <si>
    <t>PPh 23</t>
  </si>
  <si>
    <t>Membayar jasa konstruksi kepada PT. ER yang telah memiliki sertifikasi jasa konstruksi atas kontrak konstruksi pemasangan instalasi dengan nilai kontrak Rp.175.000.000 belum termasuk PPN</t>
  </si>
  <si>
    <t>Laba Penjualan</t>
  </si>
  <si>
    <t>Investasi Saham</t>
  </si>
  <si>
    <t>Melakukan penjualan saham di Bursa Efek (harga perolehan Rp.12.500.000) sebesar Rp.20.500.000 dan biaya penjualan 10% harga jual</t>
  </si>
  <si>
    <t>Memperoleh bunga deposito Rp.157.550.000</t>
  </si>
  <si>
    <t>Pendapatan Bunga</t>
  </si>
  <si>
    <t>Menjual saham di Bursa Efek Rp.20.500.000 (nominal Rp.12.500.000), biaya penjualan 10% harga jual</t>
  </si>
  <si>
    <t xml:space="preserve">Menjual obligasi jangka pendek di Bursa Efek Rp.60.500.000 (nominal Rp.72.750.000)  dan biaya penjualan 15% harga jual </t>
  </si>
  <si>
    <t xml:space="preserve">Melakukan penjualan obligasi jangka pendek di Bursa Efek (harga perolehan Rp.72.750.000) sebesar Rp.60.500.000 dan biaya penjualan 15% dari harga jual </t>
  </si>
  <si>
    <t>Membeli Mesin Foto Copy Rp.34.845.800 (included PPN) 5 unit, kredit</t>
  </si>
  <si>
    <t>Membayar jasa konstruksi Rp.175.000.000 belum termasuk PPN</t>
  </si>
  <si>
    <t>Rugi Penjualan</t>
  </si>
  <si>
    <t>Investasi Obligasi</t>
  </si>
  <si>
    <t>Membeli barang 25 unit @Rp.8.332.050 (termasuk PPN) tunai</t>
  </si>
  <si>
    <t>Menerima pembayaran sewa gudang Rp.175.000.000 untuk 1 tahun.</t>
  </si>
  <si>
    <t xml:space="preserve">Pendapatan Sewa Gudang </t>
  </si>
  <si>
    <t>Sewa dibayar dimuka</t>
  </si>
  <si>
    <t>Membayar sewa forklift  Rp.6.750.000/bulan sampai 12 bulan ke depan</t>
  </si>
  <si>
    <t>Membayar sewa forklift kepada PT. FU (PKP) sebesar Rp.6.750.000/bulan sampai 12 bulan ke depan</t>
  </si>
  <si>
    <t xml:space="preserve">Melakukan pembelian impor barang dagangan dengan Cost US$47.500, Insurance 5% Cost, Freight 10% Cost. Bea Masuk 10% CIF dan Bea Masuk Tambahan 5% CIF. Kurs KMK 1 Dollar= Rp.15.500 </t>
  </si>
  <si>
    <t>PPh 22 Impor</t>
  </si>
  <si>
    <t xml:space="preserve">Mengimpor barang dagangan Cost US$47.500, Insurance 5% Cost, Freight 10% Cost. BM 10% CIF dan BMT 5% CIF. Kurs KMK 1 Dollar= Rp.15.500 </t>
  </si>
  <si>
    <t>membeli kertas sebagai barang dagangan seharga Rp.113.300.000 (termasuk PPN) dari industri kertas PT.UTE.</t>
  </si>
  <si>
    <t>PPh 22 Industri</t>
  </si>
  <si>
    <t>Membeli kertas sebagai barang dagangan Rp.113.300.000 (termasuk PPN) dari industri kertas, tunai</t>
  </si>
  <si>
    <t>Truk</t>
  </si>
  <si>
    <t xml:space="preserve">Membeli 5 unit truk dari industri mobil @Rp.950.000.000 kredit (termasuk PPN dan PPnBM 20%). </t>
  </si>
  <si>
    <t xml:space="preserve">Melakukan pembelian 5 unit truk dari industri mobil PT. DE dengan harga Rp.950.000.000 perunit secara kredit (termasuk PPN dan PPnBM 20%). </t>
  </si>
  <si>
    <t>Menerima penghasilan Royalti  Rp.55.000.000</t>
  </si>
  <si>
    <t>Pendapatan Royalti</t>
  </si>
  <si>
    <t>Aset Lainnya</t>
  </si>
  <si>
    <t>Membeli brand Toko RiER dengan harga perolehan Rp.670.000.000 (masa manfaat komersial brand selama 10 tahun)</t>
  </si>
  <si>
    <t>Beban amortisasi</t>
  </si>
  <si>
    <t>Aset lainnya</t>
  </si>
  <si>
    <t>Membeli brand Rp.670.000.000 (masa manfaat 10 tahun), tunai</t>
  </si>
  <si>
    <t>Biaya Ijin Rp.350.000.000 masa manfaat 5 tahun (straight line method), tunai</t>
  </si>
  <si>
    <t>PPh 26</t>
  </si>
  <si>
    <t>Beban Gaji</t>
  </si>
  <si>
    <t>PPh 21</t>
  </si>
  <si>
    <t>Membayar gaji bersih Rp.1.257.575.000. PPh 21  dipotong Rp.62.878.750</t>
  </si>
  <si>
    <t xml:space="preserve">Beban Dividen </t>
  </si>
  <si>
    <t>Utang PPh 23</t>
  </si>
  <si>
    <t>Membayar dividen Rp.2.298.000 kepada PT A (10%), PT.B (20%), PT.C (30%) dan PT.D (40%)</t>
  </si>
  <si>
    <t>Beban Bunga</t>
  </si>
  <si>
    <t>Membayar Bunga Pinjaman kepada PT.BACA Rp.375.000.000 dan PT.BAZ Rp.145.750.000</t>
  </si>
  <si>
    <t>Diskonto Wesel Bayar</t>
  </si>
  <si>
    <t>Wesel Bayar</t>
  </si>
  <si>
    <t xml:space="preserve">15 Mei </t>
  </si>
  <si>
    <t>31 Des</t>
  </si>
  <si>
    <t>Rugi</t>
  </si>
  <si>
    <t>Meminjam uang dengan promes Rp.58.000.000 ( bunga diskonto 10%)  12 bulan</t>
  </si>
  <si>
    <t>5 Agustus</t>
  </si>
  <si>
    <t>Utang Obligasi</t>
  </si>
  <si>
    <t>Premium Obligasi</t>
  </si>
  <si>
    <t>Menjual obligasi (nilai nominal Rp.540.000.000, bunga 25%/th) seharga Rp.750.000.000 (obligasi tidak diperdagangkan di Bursa Efek).</t>
  </si>
  <si>
    <t>Beban Bunga Obligasi</t>
  </si>
  <si>
    <t>5 Januari</t>
  </si>
  <si>
    <t>12 Januari</t>
  </si>
  <si>
    <t>8 Februari</t>
  </si>
  <si>
    <t>15 Februari</t>
  </si>
  <si>
    <t>27 Februari</t>
  </si>
  <si>
    <t>3 Maret</t>
  </si>
  <si>
    <t>14 Maret</t>
  </si>
  <si>
    <t>21 Maret</t>
  </si>
  <si>
    <t>30 Maret</t>
  </si>
  <si>
    <t>1 Mei</t>
  </si>
  <si>
    <t>7 Juni</t>
  </si>
  <si>
    <t>1 Desember</t>
  </si>
  <si>
    <t>2 Agustus</t>
  </si>
  <si>
    <t>15 Mei</t>
  </si>
  <si>
    <t>10 Juni</t>
  </si>
  <si>
    <t>20 Juni</t>
  </si>
  <si>
    <t>7 Juli</t>
  </si>
  <si>
    <t>18 Juli</t>
  </si>
  <si>
    <t>29 Juli</t>
  </si>
  <si>
    <t>PIUTANG DAGANG</t>
  </si>
  <si>
    <t>PENJUALAN</t>
  </si>
  <si>
    <t>PPN KELUARAN</t>
  </si>
  <si>
    <t>PERSEDIAAN</t>
  </si>
  <si>
    <t>PPN MASUKAN</t>
  </si>
  <si>
    <t>HUTANG</t>
  </si>
  <si>
    <t>MESIN FOTO COPY</t>
  </si>
  <si>
    <t>KAS</t>
  </si>
  <si>
    <t>PPH PASAL 4 (2)</t>
  </si>
  <si>
    <t>PENDAPATAN SEWA</t>
  </si>
  <si>
    <t>PPH PASAL 22 Bendaharawan</t>
  </si>
  <si>
    <t>PPH PASAL 23 Jasa</t>
  </si>
  <si>
    <t xml:space="preserve"> CR </t>
  </si>
  <si>
    <t>BEBAN JASA KONSTRUKSI</t>
  </si>
  <si>
    <t>KEUNTUNGAN PENJUALAN SAHAM</t>
  </si>
  <si>
    <t>INVESTASI SAHAM</t>
  </si>
  <si>
    <t>PENDAPATAN BUNGA DEPOSITO</t>
  </si>
  <si>
    <t>KERUGIAN PENJUALAN OBLIGASI</t>
  </si>
  <si>
    <t>INVESTASI OBLIGASI</t>
  </si>
  <si>
    <t>PENDAPATAN SEWA GUDANG</t>
  </si>
  <si>
    <t>BEBAN SEWA DIBAYAR DIMUKA</t>
  </si>
  <si>
    <t>1-Mei</t>
  </si>
  <si>
    <t>DISKONTO WESEL</t>
  </si>
  <si>
    <t>15 mei</t>
  </si>
  <si>
    <t>WESEL BAYAR</t>
  </si>
  <si>
    <t>PPH PASAL 22 IMPOR</t>
  </si>
  <si>
    <t>PPH PASAL 22 INDUSTRI KERTAS</t>
  </si>
  <si>
    <t>TRUK</t>
  </si>
  <si>
    <t>PPH PASAL 22 INDUSTRI AUTOMOTIF</t>
  </si>
  <si>
    <t>PPH PASAL 23 Royalti</t>
  </si>
  <si>
    <t>ASET LAINNYA</t>
  </si>
  <si>
    <t>16 Juli</t>
  </si>
  <si>
    <t>BEBAN GAJI</t>
  </si>
  <si>
    <t>28 Agt</t>
  </si>
  <si>
    <t>29 Agt</t>
  </si>
  <si>
    <t>29 Agustus</t>
  </si>
  <si>
    <t>PPH PASAL 21</t>
  </si>
  <si>
    <t>PPH PASAL 26</t>
  </si>
  <si>
    <t>PPH PASAL 23 Bunga</t>
  </si>
  <si>
    <t>2 Agt</t>
  </si>
  <si>
    <t>BEBAN BUNGA</t>
  </si>
  <si>
    <t>5 Agt</t>
  </si>
  <si>
    <t>PPH PASAL 23 Obligasi</t>
  </si>
  <si>
    <t>UTANG OBLIGASI</t>
  </si>
  <si>
    <t>BEBAN DIVIDEN</t>
  </si>
  <si>
    <t>1 Des</t>
  </si>
  <si>
    <t>PPH PASAL 23 Deviden</t>
  </si>
  <si>
    <t>SALDO</t>
  </si>
  <si>
    <t xml:space="preserve">SALDO </t>
  </si>
  <si>
    <t>Penjualan kredit Rp.787.065.800 (included PPN), HPP=Rp.363.908.500</t>
  </si>
  <si>
    <t>Melakukan penjualan kredit dari pelanggan total sebesar Rp.787.065.800 (sudah termasuk PPN) dimana HPP sebesar Rp.363.908.500</t>
  </si>
  <si>
    <t>BUKU BESAR</t>
  </si>
  <si>
    <t>Menjual barang kepada Bendaharawan Rp.1.303.325.000 (termasuk PPN). HPP = Rp.710.000.000</t>
  </si>
  <si>
    <t>Menerima pembayaran dari Bendaharawan Dinas Kesehatan untuk penjualan barang dagangan seharga Rp.1.303.325.000 (termasuk PPN) dengan HPP sebesar Rp.710.000.000</t>
  </si>
  <si>
    <t>Menjual barang dagangan Rp.1.640.475.000 (termasuk PPN) tunai. HPP sebesar Rp.436.687.500</t>
  </si>
  <si>
    <t>Menjual 5 unit @Rp.187.500.000, barang dagangan tunai. HPP= Rp.75.000.000/unit belum termasuk PPN</t>
  </si>
  <si>
    <t>PENDAPATAN ROYALTI</t>
  </si>
  <si>
    <t>PREMIUM OBLIGASI</t>
  </si>
  <si>
    <t>BEBAN OPERASIONAL</t>
  </si>
  <si>
    <t>LABA KOTOR</t>
  </si>
  <si>
    <t>- BEBAN GAJI</t>
  </si>
  <si>
    <t>- BEBAN BUNGA</t>
  </si>
  <si>
    <t>- BEBAN DIVIDEN</t>
  </si>
  <si>
    <t>- BEBAN JASA KONSTRUKSI</t>
  </si>
  <si>
    <t>- BEBAN DEPRESIASI</t>
  </si>
  <si>
    <t>- DEPRESIASI TRUK</t>
  </si>
  <si>
    <t>- DEPRESIASI MESIN FC</t>
  </si>
  <si>
    <t>- BEBAN AMORTISASI</t>
  </si>
  <si>
    <t xml:space="preserve">TOTAL BEBAN </t>
  </si>
  <si>
    <t>PENDAPATAN LAIN-LAIN</t>
  </si>
  <si>
    <t>- PENDATAN BUNGA DEPOSITO</t>
  </si>
  <si>
    <t>- PENDAPATAN ROYALTI</t>
  </si>
  <si>
    <t>- PENDAPATAN SEWA GUDANG</t>
  </si>
  <si>
    <t>- KEUNTUNGAN PENJUALAN SAHAM</t>
  </si>
  <si>
    <t>- KERUGIAN PENJUALAN OBLIGASI</t>
  </si>
  <si>
    <t>BEBAN LAIN-LAIN</t>
  </si>
  <si>
    <t xml:space="preserve">Berdasarkan Buku Besar dan catatan akuntansi atas transaksi-transaksi tambahan maka ikhtisar LK berupa Laporan Rugi Laba Tahun 2018 adalah sebagai berikut: </t>
  </si>
  <si>
    <t>- PENYISIHAN PIUTANG RAGU-RAGU</t>
  </si>
  <si>
    <t>Beban Penyisihan Piutang Ragu-Ragu 10% dari Saldo Piutang</t>
  </si>
  <si>
    <t>Beban Penyisihan Piutang</t>
  </si>
  <si>
    <t>Piutang</t>
  </si>
  <si>
    <t>POSITIF</t>
  </si>
  <si>
    <t>NEGATIF</t>
  </si>
  <si>
    <t>KOREKSI</t>
  </si>
  <si>
    <t>R/L KOMERSIAL</t>
  </si>
  <si>
    <t>R/L FISKAL</t>
  </si>
  <si>
    <t>Penjualan ekspor tidak tercatat pada Tahun 2018 sebesar Rp.3.896.000.000 (PPN Ekspor 0%), dengan HPP sebesar 25% Penjualan</t>
  </si>
  <si>
    <t>Pada Beban Gaji termasuk didalamnya biaya pulsa HP Direksi dan Biaya Pemeliharaan Kendaraan Direksi sebesar Rp.327.000.000</t>
  </si>
  <si>
    <t>- BEBAN SEWA</t>
  </si>
  <si>
    <t>Pendapatan Sewa Gudang</t>
  </si>
  <si>
    <t>TOTAL PENDAPATAN LAIN</t>
  </si>
  <si>
    <t>Mesin FC yang dibeli 8 februari memiliki umur ekonomis komersial 6 tahun. Menurut Pajak masuk Kelompok II</t>
  </si>
  <si>
    <t>Truk yang dibeli 20 Juni memiliki umur ekonomis 10 tahun. Menurut pajak masuk ke dalam kelompok III</t>
  </si>
  <si>
    <t>- BIAYA SEWA GUDANG</t>
  </si>
  <si>
    <t>- BIAYA ROYALTI</t>
  </si>
  <si>
    <t>Ditemukan bukti Pendapatan pada program Big Sale dan Pemberian Hadiah bagi mitra dagang sebesar Rp.575.000.000, dengan nilai HPP Rp.65.000.000</t>
  </si>
  <si>
    <t>TOTAL BEBAN LAIN-LAIN</t>
  </si>
  <si>
    <t>LABA BERSIH</t>
  </si>
  <si>
    <t>LABA BERSIH LAIN-LAIN</t>
  </si>
  <si>
    <t>- SUMBANGAN DAN HADIAH</t>
  </si>
  <si>
    <t>- PEMBAYARAN PBB</t>
  </si>
  <si>
    <t>Pendapatan Dividen dari Jepang Rp.775.675.000 (Pajak dipotong di Jepang 25%)</t>
  </si>
  <si>
    <t>Pendapatan Dividen</t>
  </si>
  <si>
    <t>PPh 24</t>
  </si>
  <si>
    <t>PENDAPATAN LN (JEPANG)</t>
  </si>
  <si>
    <t>Pendapatan Dividen dari Korea Selatan Rp.976.675.000 (Pajak dipotong di Korea 27%)</t>
  </si>
  <si>
    <t>PENDAPATAN LN (KOREA SELATAN)</t>
  </si>
  <si>
    <t>TOTAL PENDAPATAN LN</t>
  </si>
  <si>
    <t>PKP DN</t>
  </si>
  <si>
    <t>PKP DN + LN</t>
  </si>
  <si>
    <t>PPH BADAN 2018 (omzet &lt; 50M): 12,5% x PKP</t>
  </si>
  <si>
    <t>KREDIT PAJAK:</t>
  </si>
  <si>
    <t>PPH 22 BENDAHARAWAN</t>
  </si>
  <si>
    <t>PPH 23 ROYALTI</t>
  </si>
  <si>
    <t>PPH 23 OBLIGASI</t>
  </si>
  <si>
    <t>PPH 22 IMPOR</t>
  </si>
  <si>
    <t>PPH 22 OTOMOTIF</t>
  </si>
  <si>
    <t>PPH 22 KERTAS</t>
  </si>
  <si>
    <t>PPH 24</t>
  </si>
  <si>
    <t>Pembayaran Pajak Bumi dan Bangunan sebesar Rp.125.000.000</t>
  </si>
  <si>
    <t>Beban PBB</t>
  </si>
  <si>
    <t>Pemberian sumbangan sebesar Rp.176.000.000 dan pemberian hadiah sebesar Rp.100.500.000</t>
  </si>
  <si>
    <t>Beban Sumbangan dan hadiah</t>
  </si>
  <si>
    <t>Transaksi tambahan selama Tahun 2018</t>
  </si>
  <si>
    <t>Transaksi-transaksi pada Soal Pertemuan 14</t>
  </si>
  <si>
    <t>13 Mei</t>
  </si>
  <si>
    <t>14 Mei</t>
  </si>
  <si>
    <t>Membeli 15 unit komputer kredit @Rp.12.700.000</t>
  </si>
  <si>
    <t>Komputer</t>
  </si>
  <si>
    <t>16 Mei</t>
  </si>
  <si>
    <t>Memanfaatkan jasa konsultasi Rp.8.590.000</t>
  </si>
  <si>
    <t>Beban Jasa</t>
  </si>
  <si>
    <t xml:space="preserve">20 Mei </t>
  </si>
  <si>
    <t>Membeli kendaraan kredit Rp.230.000.000 PPN 10%, PPnBM 20%</t>
  </si>
  <si>
    <t>Kendaraan</t>
  </si>
  <si>
    <t>PPn BM</t>
  </si>
  <si>
    <t>21 Mei</t>
  </si>
  <si>
    <t>PPN Keluaran-pemungut</t>
  </si>
  <si>
    <t>24 Mei</t>
  </si>
  <si>
    <t>Membeli tunai barang Rp 40.750.000 dengan diskon 15% dari PKP</t>
  </si>
  <si>
    <t>Diskon pembelian</t>
  </si>
  <si>
    <t>25 Mei</t>
  </si>
  <si>
    <t>membeli barang dagangan kredit pada bukan PKP Rp.43.970.000</t>
  </si>
  <si>
    <t>26 Mei</t>
  </si>
  <si>
    <t>Meretur pembelian tanggal 24 Mei Rp.29.000.000</t>
  </si>
  <si>
    <t>29 Mei</t>
  </si>
  <si>
    <t>Uang Muka Impor</t>
  </si>
  <si>
    <t xml:space="preserve">Komisi Impor </t>
  </si>
  <si>
    <t>30 Mei</t>
  </si>
  <si>
    <t>Bea Masuk</t>
  </si>
  <si>
    <t>BEBAN JASA KONSULTASI</t>
  </si>
  <si>
    <t>KOMPUTER</t>
  </si>
  <si>
    <t>14  Mei</t>
  </si>
  <si>
    <t xml:space="preserve">KENDARAAN </t>
  </si>
  <si>
    <t>20 Mei</t>
  </si>
  <si>
    <t>Retur Persediaan</t>
  </si>
  <si>
    <t>Membuka LC US$30.000 (dibayar 50%) komisi impor 25% LC (US$32,70) Kurs Rp.13.400, sebagai nilai persediaan</t>
  </si>
  <si>
    <t>Realisasi impor sebagai nilai persediaan US$49.560 (Kurs Rp.14.410) BM 25%</t>
  </si>
  <si>
    <t>Menjual 10 unit produk @Rp.2.750.000 dan 15 bh sub @Rp.780.000 tunai (Tambahan: nilai HPP 50% Penjualan)</t>
  </si>
  <si>
    <t>Menjual BKP tunai Rp.267.780.000 kepada pemungut, Rp.750.000.000 kepada non pemungut (Tambahan HPP 50% penjualan)</t>
  </si>
  <si>
    <t>KURANG BAYAR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</si>
</sst>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1" fontId="0" fillId="0" borderId="0" xfId="1" applyFont="1"/>
    <xf numFmtId="0" fontId="0" fillId="0" borderId="0" xfId="0" applyFont="1" applyAlignment="1">
      <alignment horizontal="left" wrapText="1"/>
    </xf>
    <xf numFmtId="41" fontId="1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41" fontId="0" fillId="2" borderId="0" xfId="1" applyFont="1" applyFill="1"/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1" fontId="1" fillId="3" borderId="0" xfId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41" fontId="6" fillId="2" borderId="0" xfId="1" applyFont="1" applyFill="1" applyAlignment="1">
      <alignment horizontal="left" vertical="center"/>
    </xf>
    <xf numFmtId="41" fontId="6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6" fillId="2" borderId="0" xfId="1" applyFont="1" applyFill="1" applyAlignment="1">
      <alignment horizontal="left" vertical="center" wrapText="1"/>
    </xf>
    <xf numFmtId="41" fontId="6" fillId="0" borderId="0" xfId="1" applyFont="1"/>
    <xf numFmtId="0" fontId="6" fillId="0" borderId="0" xfId="0" applyFont="1"/>
    <xf numFmtId="0" fontId="6" fillId="2" borderId="0" xfId="0" applyFont="1" applyFill="1"/>
    <xf numFmtId="41" fontId="6" fillId="2" borderId="0" xfId="1" applyFont="1" applyFill="1"/>
    <xf numFmtId="41" fontId="0" fillId="0" borderId="0" xfId="1" applyFont="1" applyFill="1"/>
    <xf numFmtId="0" fontId="0" fillId="0" borderId="0" xfId="0" applyFill="1"/>
    <xf numFmtId="0" fontId="6" fillId="2" borderId="0" xfId="0" applyFont="1" applyFill="1" applyAlignment="1">
      <alignment horizontal="left" vertical="center"/>
    </xf>
    <xf numFmtId="41" fontId="0" fillId="0" borderId="0" xfId="1" applyFont="1" applyFill="1" applyAlignment="1"/>
    <xf numFmtId="41" fontId="6" fillId="0" borderId="0" xfId="1" applyFont="1" applyFill="1" applyAlignment="1"/>
    <xf numFmtId="0" fontId="6" fillId="2" borderId="0" xfId="0" applyFont="1" applyFill="1" applyAlignment="1">
      <alignment horizontal="center" vertical="top"/>
    </xf>
    <xf numFmtId="41" fontId="6" fillId="2" borderId="0" xfId="1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41" fontId="6" fillId="0" borderId="0" xfId="0" applyNumberFormat="1" applyFont="1"/>
    <xf numFmtId="41" fontId="5" fillId="0" borderId="0" xfId="0" applyNumberFormat="1" applyFont="1" applyFill="1" applyAlignment="1"/>
    <xf numFmtId="41" fontId="7" fillId="0" borderId="0" xfId="0" applyNumberFormat="1" applyFont="1" applyFill="1"/>
    <xf numFmtId="41" fontId="7" fillId="0" borderId="0" xfId="0" applyNumberFormat="1" applyFont="1" applyFill="1" applyAlignment="1"/>
    <xf numFmtId="0" fontId="6" fillId="2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41" fontId="4" fillId="4" borderId="1" xfId="1" applyFont="1" applyFill="1" applyBorder="1" applyAlignment="1">
      <alignment horizontal="center"/>
    </xf>
    <xf numFmtId="41" fontId="5" fillId="4" borderId="1" xfId="1" applyFont="1" applyFill="1" applyBorder="1"/>
    <xf numFmtId="41" fontId="0" fillId="2" borderId="1" xfId="1" applyFont="1" applyFill="1" applyBorder="1"/>
    <xf numFmtId="41" fontId="5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41" fontId="7" fillId="0" borderId="0" xfId="1" applyFont="1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41" fontId="1" fillId="2" borderId="1" xfId="1" applyFont="1" applyFill="1" applyBorder="1"/>
    <xf numFmtId="0" fontId="1" fillId="2" borderId="1" xfId="0" applyFont="1" applyFill="1" applyBorder="1"/>
    <xf numFmtId="41" fontId="4" fillId="4" borderId="1" xfId="1" applyFont="1" applyFill="1" applyBorder="1" applyAlignment="1"/>
    <xf numFmtId="16" fontId="5" fillId="4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5" fillId="4" borderId="1" xfId="0" applyFont="1" applyFill="1" applyBorder="1"/>
    <xf numFmtId="41" fontId="4" fillId="4" borderId="1" xfId="1" applyFont="1" applyFill="1" applyBorder="1"/>
    <xf numFmtId="41" fontId="4" fillId="4" borderId="1" xfId="0" applyNumberFormat="1" applyFont="1" applyFill="1" applyBorder="1"/>
    <xf numFmtId="0" fontId="5" fillId="0" borderId="0" xfId="0" applyFont="1" applyFill="1" applyBorder="1" applyAlignment="1">
      <alignment horizontal="center"/>
    </xf>
    <xf numFmtId="41" fontId="5" fillId="0" borderId="0" xfId="1" applyFont="1" applyFill="1" applyBorder="1"/>
    <xf numFmtId="0" fontId="5" fillId="0" borderId="0" xfId="0" applyFont="1" applyFill="1" applyBorder="1"/>
    <xf numFmtId="0" fontId="4" fillId="4" borderId="1" xfId="0" applyFont="1" applyFill="1" applyBorder="1"/>
    <xf numFmtId="0" fontId="5" fillId="0" borderId="0" xfId="0" applyFont="1" applyFill="1"/>
    <xf numFmtId="41" fontId="5" fillId="0" borderId="0" xfId="1" applyFont="1" applyFill="1"/>
    <xf numFmtId="0" fontId="4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1" fontId="5" fillId="0" borderId="0" xfId="0" applyNumberFormat="1" applyFont="1" applyFill="1"/>
    <xf numFmtId="41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41" fontId="4" fillId="6" borderId="1" xfId="1" applyFont="1" applyFill="1" applyBorder="1" applyAlignment="1">
      <alignment horizontal="center"/>
    </xf>
    <xf numFmtId="16" fontId="5" fillId="6" borderId="1" xfId="0" applyNumberFormat="1" applyFont="1" applyFill="1" applyBorder="1" applyAlignment="1">
      <alignment horizontal="center" vertical="center"/>
    </xf>
    <xf numFmtId="41" fontId="5" fillId="6" borderId="1" xfId="1" applyFont="1" applyFill="1" applyBorder="1"/>
    <xf numFmtId="16" fontId="0" fillId="7" borderId="1" xfId="0" applyNumberFormat="1" applyFill="1" applyBorder="1" applyAlignment="1">
      <alignment horizontal="center" vertical="center"/>
    </xf>
    <xf numFmtId="41" fontId="0" fillId="7" borderId="1" xfId="1" applyFont="1" applyFill="1" applyBorder="1"/>
    <xf numFmtId="16" fontId="2" fillId="7" borderId="1" xfId="1" applyNumberFormat="1" applyFont="1" applyFill="1" applyBorder="1" applyAlignment="1">
      <alignment horizontal="center" vertical="center"/>
    </xf>
    <xf numFmtId="41" fontId="2" fillId="7" borderId="1" xfId="1" applyFont="1" applyFill="1" applyBorder="1"/>
    <xf numFmtId="16" fontId="0" fillId="7" borderId="1" xfId="0" applyNumberFormat="1" applyFont="1" applyFill="1" applyBorder="1" applyAlignment="1">
      <alignment horizontal="center" vertical="center"/>
    </xf>
    <xf numFmtId="41" fontId="0" fillId="7" borderId="1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1" fontId="5" fillId="6" borderId="1" xfId="0" applyNumberFormat="1" applyFont="1" applyFill="1" applyBorder="1"/>
    <xf numFmtId="0" fontId="0" fillId="7" borderId="1" xfId="0" applyFill="1" applyBorder="1"/>
    <xf numFmtId="41" fontId="0" fillId="7" borderId="1" xfId="0" applyNumberFormat="1" applyFill="1" applyBorder="1"/>
    <xf numFmtId="0" fontId="1" fillId="7" borderId="1" xfId="0" applyFont="1" applyFill="1" applyBorder="1" applyAlignment="1">
      <alignment horizontal="center"/>
    </xf>
    <xf numFmtId="41" fontId="1" fillId="7" borderId="1" xfId="1" applyFont="1" applyFill="1" applyBorder="1" applyAlignment="1">
      <alignment horizontal="center"/>
    </xf>
    <xf numFmtId="0" fontId="1" fillId="7" borderId="1" xfId="0" applyFont="1" applyFill="1" applyBorder="1" applyAlignment="1"/>
    <xf numFmtId="16" fontId="0" fillId="7" borderId="1" xfId="0" applyNumberFormat="1" applyFill="1" applyBorder="1"/>
    <xf numFmtId="41" fontId="4" fillId="6" borderId="1" xfId="1" applyFont="1" applyFill="1" applyBorder="1" applyAlignment="1"/>
    <xf numFmtId="16" fontId="5" fillId="6" borderId="1" xfId="0" applyNumberFormat="1" applyFont="1" applyFill="1" applyBorder="1"/>
    <xf numFmtId="41" fontId="1" fillId="2" borderId="1" xfId="1" applyFont="1" applyFill="1" applyBorder="1" applyAlignment="1"/>
    <xf numFmtId="16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41" fontId="5" fillId="6" borderId="1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41" fontId="0" fillId="2" borderId="2" xfId="1" applyFont="1" applyFill="1" applyBorder="1"/>
    <xf numFmtId="41" fontId="1" fillId="2" borderId="2" xfId="1" applyFont="1" applyFill="1" applyBorder="1"/>
    <xf numFmtId="0" fontId="1" fillId="0" borderId="6" xfId="0" applyFont="1" applyFill="1" applyBorder="1" applyAlignment="1">
      <alignment horizontal="center"/>
    </xf>
    <xf numFmtId="41" fontId="0" fillId="0" borderId="6" xfId="1" applyFont="1" applyFill="1" applyBorder="1"/>
    <xf numFmtId="41" fontId="1" fillId="0" borderId="6" xfId="1" applyFont="1" applyFill="1" applyBorder="1"/>
    <xf numFmtId="16" fontId="4" fillId="4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" fontId="0" fillId="2" borderId="1" xfId="0" applyNumberFormat="1" applyFill="1" applyBorder="1"/>
    <xf numFmtId="41" fontId="4" fillId="5" borderId="1" xfId="0" applyNumberFormat="1" applyFont="1" applyFill="1" applyBorder="1"/>
    <xf numFmtId="0" fontId="1" fillId="0" borderId="0" xfId="0" applyFont="1"/>
    <xf numFmtId="4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0" applyNumberFormat="1" applyBorder="1" applyAlignment="1">
      <alignment horizontal="center"/>
    </xf>
    <xf numFmtId="41" fontId="8" fillId="0" borderId="1" xfId="0" applyNumberFormat="1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quotePrefix="1" applyBorder="1"/>
    <xf numFmtId="0" fontId="0" fillId="3" borderId="1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1" fontId="1" fillId="3" borderId="1" xfId="1" applyFont="1" applyFill="1" applyBorder="1" applyAlignment="1">
      <alignment horizontal="center" vertical="center"/>
    </xf>
    <xf numFmtId="41" fontId="0" fillId="0" borderId="1" xfId="1" applyFont="1" applyBorder="1"/>
    <xf numFmtId="0" fontId="0" fillId="2" borderId="0" xfId="0" applyFill="1" applyAlignment="1">
      <alignment vertical="top" wrapText="1"/>
    </xf>
    <xf numFmtId="41" fontId="2" fillId="2" borderId="0" xfId="1" applyFont="1" applyFill="1"/>
    <xf numFmtId="0" fontId="2" fillId="2" borderId="0" xfId="0" applyFont="1" applyFill="1"/>
    <xf numFmtId="41" fontId="1" fillId="0" borderId="1" xfId="1" applyFont="1" applyBorder="1"/>
    <xf numFmtId="0" fontId="1" fillId="0" borderId="1" xfId="0" applyFont="1" applyBorder="1"/>
    <xf numFmtId="0" fontId="1" fillId="0" borderId="1" xfId="0" quotePrefix="1" applyFont="1" applyBorder="1"/>
    <xf numFmtId="0" fontId="1" fillId="0" borderId="3" xfId="0" applyFont="1" applyBorder="1"/>
    <xf numFmtId="0" fontId="0" fillId="0" borderId="5" xfId="0" applyBorder="1"/>
    <xf numFmtId="0" fontId="1" fillId="2" borderId="0" xfId="0" applyFont="1" applyFill="1"/>
    <xf numFmtId="41" fontId="1" fillId="2" borderId="0" xfId="1" applyFont="1" applyFill="1"/>
    <xf numFmtId="41" fontId="1" fillId="2" borderId="0" xfId="0" applyNumberFormat="1" applyFont="1" applyFill="1" applyAlignment="1">
      <alignment horizontal="center"/>
    </xf>
    <xf numFmtId="0" fontId="1" fillId="0" borderId="0" xfId="0" applyFont="1" applyFill="1"/>
    <xf numFmtId="41" fontId="1" fillId="0" borderId="0" xfId="1" applyFont="1" applyFill="1"/>
    <xf numFmtId="0" fontId="4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16" fontId="6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41" fontId="0" fillId="0" borderId="0" xfId="1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41" fontId="1" fillId="3" borderId="1" xfId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41" fontId="1" fillId="3" borderId="7" xfId="1" applyFont="1" applyFill="1" applyBorder="1" applyAlignment="1">
      <alignment horizontal="center" vertical="center"/>
    </xf>
    <xf numFmtId="41" fontId="1" fillId="3" borderId="8" xfId="1" applyFont="1" applyFill="1" applyBorder="1" applyAlignment="1">
      <alignment horizontal="center" vertical="center"/>
    </xf>
    <xf numFmtId="41" fontId="1" fillId="3" borderId="9" xfId="1" applyFont="1" applyFill="1" applyBorder="1" applyAlignment="1">
      <alignment horizontal="center" vertical="center"/>
    </xf>
    <xf numFmtId="41" fontId="1" fillId="3" borderId="10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7" borderId="0" xfId="0" applyFill="1" applyAlignment="1">
      <alignment horizontal="center" vertical="top"/>
    </xf>
    <xf numFmtId="0" fontId="0" fillId="7" borderId="0" xfId="0" applyFill="1" applyAlignment="1">
      <alignment horizontal="left" vertical="top" wrapText="1"/>
    </xf>
    <xf numFmtId="0" fontId="0" fillId="7" borderId="0" xfId="0" applyFill="1"/>
    <xf numFmtId="41" fontId="0" fillId="7" borderId="0" xfId="1" applyFont="1" applyFill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center" vertical="center"/>
    </xf>
    <xf numFmtId="41" fontId="1" fillId="0" borderId="0" xfId="1" applyFont="1"/>
    <xf numFmtId="0" fontId="0" fillId="7" borderId="0" xfId="0" applyFill="1" applyAlignment="1">
      <alignment horizontal="center" vertical="top"/>
    </xf>
    <xf numFmtId="0" fontId="0" fillId="7" borderId="0" xfId="0" applyFill="1" applyAlignment="1">
      <alignment horizontal="left" vertical="top" wrapText="1"/>
    </xf>
    <xf numFmtId="0" fontId="1" fillId="8" borderId="0" xfId="0" applyFont="1" applyFill="1"/>
    <xf numFmtId="0" fontId="0" fillId="8" borderId="1" xfId="0" applyFill="1" applyBorder="1"/>
    <xf numFmtId="41" fontId="0" fillId="8" borderId="1" xfId="1" applyFont="1" applyFill="1" applyBorder="1"/>
    <xf numFmtId="41" fontId="1" fillId="8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D7ECE-3816-F542-817B-A5D8D29753A1}">
  <dimension ref="A1:C33"/>
  <sheetViews>
    <sheetView zoomScale="125" workbookViewId="0">
      <selection activeCell="F8" sqref="F8"/>
    </sheetView>
  </sheetViews>
  <sheetFormatPr baseColWidth="10" defaultRowHeight="16" x14ac:dyDescent="0.2"/>
  <cols>
    <col min="1" max="1" width="4.5" style="8" customWidth="1"/>
    <col min="2" max="2" width="11.83203125" style="7" customWidth="1"/>
    <col min="3" max="3" width="81.83203125" customWidth="1"/>
  </cols>
  <sheetData>
    <row r="1" spans="1:3" x14ac:dyDescent="0.2">
      <c r="B1" s="7" t="s">
        <v>5</v>
      </c>
    </row>
    <row r="3" spans="1:3" s="1" customFormat="1" x14ac:dyDescent="0.2">
      <c r="A3" s="6"/>
      <c r="B3" s="18" t="s">
        <v>0</v>
      </c>
      <c r="C3" s="1" t="s">
        <v>1</v>
      </c>
    </row>
    <row r="4" spans="1:3" s="1" customFormat="1" ht="34" x14ac:dyDescent="0.2">
      <c r="A4" s="6">
        <v>1</v>
      </c>
      <c r="B4" s="19" t="s">
        <v>97</v>
      </c>
      <c r="C4" s="4" t="s">
        <v>166</v>
      </c>
    </row>
    <row r="5" spans="1:3" ht="17" x14ac:dyDescent="0.2">
      <c r="A5" s="8">
        <v>2</v>
      </c>
      <c r="B5" s="7" t="s">
        <v>98</v>
      </c>
      <c r="C5" s="2" t="s">
        <v>7</v>
      </c>
    </row>
    <row r="6" spans="1:3" ht="34" x14ac:dyDescent="0.2">
      <c r="A6" s="8">
        <v>3</v>
      </c>
      <c r="B6" s="7" t="s">
        <v>99</v>
      </c>
      <c r="C6" s="2" t="s">
        <v>22</v>
      </c>
    </row>
    <row r="7" spans="1:3" ht="17" x14ac:dyDescent="0.2">
      <c r="A7" s="8">
        <v>4</v>
      </c>
      <c r="B7" s="7" t="s">
        <v>100</v>
      </c>
      <c r="C7" s="2" t="s">
        <v>32</v>
      </c>
    </row>
    <row r="8" spans="1:3" ht="34" x14ac:dyDescent="0.2">
      <c r="A8" s="8">
        <v>5</v>
      </c>
      <c r="B8" s="7" t="s">
        <v>101</v>
      </c>
      <c r="C8" s="2" t="s">
        <v>169</v>
      </c>
    </row>
    <row r="9" spans="1:3" ht="40" customHeight="1" x14ac:dyDescent="0.2">
      <c r="A9" s="8">
        <v>6</v>
      </c>
      <c r="B9" s="7" t="s">
        <v>102</v>
      </c>
      <c r="C9" s="2" t="s">
        <v>41</v>
      </c>
    </row>
    <row r="10" spans="1:3" ht="34" x14ac:dyDescent="0.2">
      <c r="A10" s="8">
        <v>7</v>
      </c>
      <c r="B10" s="7" t="s">
        <v>103</v>
      </c>
      <c r="C10" s="2" t="s">
        <v>44</v>
      </c>
    </row>
    <row r="11" spans="1:3" ht="17" x14ac:dyDescent="0.2">
      <c r="A11" s="8">
        <v>8</v>
      </c>
      <c r="B11" s="7" t="s">
        <v>104</v>
      </c>
      <c r="C11" s="2" t="s">
        <v>14</v>
      </c>
    </row>
    <row r="12" spans="1:3" ht="34" x14ac:dyDescent="0.2">
      <c r="A12" s="8">
        <v>9</v>
      </c>
      <c r="B12" s="7" t="s">
        <v>105</v>
      </c>
      <c r="C12" s="2" t="s">
        <v>49</v>
      </c>
    </row>
    <row r="13" spans="1:3" ht="39" customHeight="1" x14ac:dyDescent="0.2">
      <c r="A13" s="8">
        <v>10</v>
      </c>
      <c r="B13" s="20">
        <v>43925</v>
      </c>
      <c r="C13" s="2" t="s">
        <v>15</v>
      </c>
    </row>
    <row r="14" spans="1:3" ht="17" x14ac:dyDescent="0.2">
      <c r="A14" s="8">
        <v>11</v>
      </c>
      <c r="B14" s="20">
        <v>43933</v>
      </c>
      <c r="C14" s="2" t="s">
        <v>2</v>
      </c>
    </row>
    <row r="15" spans="1:3" ht="34" x14ac:dyDescent="0.2">
      <c r="A15" s="8">
        <v>12</v>
      </c>
      <c r="B15" s="20">
        <v>43936</v>
      </c>
      <c r="C15" s="2" t="s">
        <v>3</v>
      </c>
    </row>
    <row r="16" spans="1:3" ht="20" customHeight="1" x14ac:dyDescent="0.2">
      <c r="A16" s="8">
        <v>13</v>
      </c>
      <c r="B16" s="20">
        <v>43949</v>
      </c>
      <c r="C16" s="2" t="s">
        <v>4</v>
      </c>
    </row>
    <row r="17" spans="1:3" ht="34" x14ac:dyDescent="0.2">
      <c r="A17" s="8">
        <v>25</v>
      </c>
      <c r="B17" s="7" t="s">
        <v>110</v>
      </c>
      <c r="C17" s="2" t="s">
        <v>12</v>
      </c>
    </row>
    <row r="18" spans="1:3" ht="20" customHeight="1" x14ac:dyDescent="0.2">
      <c r="A18" s="8">
        <v>14</v>
      </c>
      <c r="B18" s="7" t="s">
        <v>106</v>
      </c>
      <c r="C18" s="2" t="s">
        <v>59</v>
      </c>
    </row>
    <row r="19" spans="1:3" ht="51" x14ac:dyDescent="0.2">
      <c r="A19" s="8">
        <v>15</v>
      </c>
      <c r="B19" s="7" t="s">
        <v>107</v>
      </c>
      <c r="C19" s="2" t="s">
        <v>60</v>
      </c>
    </row>
    <row r="20" spans="1:3" ht="34" x14ac:dyDescent="0.2">
      <c r="A20" s="8">
        <v>16</v>
      </c>
      <c r="B20" s="7" t="s">
        <v>111</v>
      </c>
      <c r="C20" s="2" t="s">
        <v>63</v>
      </c>
    </row>
    <row r="21" spans="1:3" ht="34" x14ac:dyDescent="0.2">
      <c r="A21" s="8">
        <v>17</v>
      </c>
      <c r="B21" s="7" t="s">
        <v>112</v>
      </c>
      <c r="C21" s="2" t="s">
        <v>68</v>
      </c>
    </row>
    <row r="22" spans="1:3" ht="17" x14ac:dyDescent="0.2">
      <c r="A22" s="8">
        <v>18</v>
      </c>
      <c r="B22" s="7" t="s">
        <v>113</v>
      </c>
      <c r="C22" s="2" t="s">
        <v>6</v>
      </c>
    </row>
    <row r="23" spans="1:3" ht="34" x14ac:dyDescent="0.2">
      <c r="A23" s="8">
        <v>19</v>
      </c>
      <c r="B23" s="7" t="s">
        <v>114</v>
      </c>
      <c r="C23" s="2" t="s">
        <v>72</v>
      </c>
    </row>
    <row r="24" spans="1:3" ht="51" x14ac:dyDescent="0.2">
      <c r="A24" s="8">
        <v>20</v>
      </c>
      <c r="B24" s="7" t="s">
        <v>115</v>
      </c>
      <c r="C24" s="2" t="s">
        <v>8</v>
      </c>
    </row>
    <row r="25" spans="1:3" ht="34" x14ac:dyDescent="0.2">
      <c r="A25" s="8">
        <v>24</v>
      </c>
      <c r="B25" s="7" t="s">
        <v>109</v>
      </c>
      <c r="C25" s="2" t="s">
        <v>10</v>
      </c>
    </row>
    <row r="26" spans="1:3" ht="17" x14ac:dyDescent="0.2">
      <c r="A26" s="8">
        <v>22</v>
      </c>
      <c r="B26" s="7" t="s">
        <v>151</v>
      </c>
      <c r="C26" s="2" t="s">
        <v>11</v>
      </c>
    </row>
    <row r="27" spans="1:3" ht="34" x14ac:dyDescent="0.2">
      <c r="A27" s="8">
        <v>26</v>
      </c>
      <c r="B27" s="20">
        <v>44140</v>
      </c>
      <c r="C27" s="2" t="s">
        <v>13</v>
      </c>
    </row>
    <row r="28" spans="1:3" ht="34" x14ac:dyDescent="0.2">
      <c r="A28" s="8">
        <v>23</v>
      </c>
      <c r="B28" s="7" t="s">
        <v>108</v>
      </c>
      <c r="C28" s="2" t="s">
        <v>9</v>
      </c>
    </row>
    <row r="29" spans="1:3" s="11" customFormat="1" x14ac:dyDescent="0.2">
      <c r="A29" s="10"/>
      <c r="B29" s="21"/>
    </row>
    <row r="32" spans="1:3" x14ac:dyDescent="0.2">
      <c r="C32" s="3"/>
    </row>
    <row r="33" spans="3:3" x14ac:dyDescent="0.2">
      <c r="C3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61441-8A05-014D-8C44-14FD68F2DCFD}">
  <dimension ref="A2:K137"/>
  <sheetViews>
    <sheetView zoomScale="133" workbookViewId="0">
      <selection activeCell="D20" sqref="D20"/>
    </sheetView>
  </sheetViews>
  <sheetFormatPr baseColWidth="10" defaultRowHeight="16" x14ac:dyDescent="0.2"/>
  <cols>
    <col min="1" max="1" width="3.33203125" style="8" customWidth="1"/>
    <col min="2" max="2" width="12.5" style="25" customWidth="1"/>
    <col min="3" max="3" width="27.5" customWidth="1"/>
    <col min="4" max="4" width="18" customWidth="1"/>
    <col min="5" max="5" width="13.83203125" style="3" customWidth="1"/>
    <col min="6" max="6" width="15" style="3" customWidth="1"/>
    <col min="7" max="7" width="13.33203125" style="3" customWidth="1"/>
    <col min="8" max="8" width="13.1640625" style="3" customWidth="1"/>
    <col min="11" max="11" width="12.5" style="3" bestFit="1" customWidth="1"/>
  </cols>
  <sheetData>
    <row r="2" spans="1:11" x14ac:dyDescent="0.2">
      <c r="A2" s="15"/>
      <c r="B2" s="24" t="s">
        <v>0</v>
      </c>
      <c r="C2" s="16" t="s">
        <v>20</v>
      </c>
      <c r="D2" s="16" t="s">
        <v>27</v>
      </c>
      <c r="E2" s="17" t="s">
        <v>28</v>
      </c>
      <c r="F2" s="17" t="s">
        <v>29</v>
      </c>
      <c r="G2" s="5"/>
    </row>
    <row r="3" spans="1:11" s="31" customFormat="1" ht="17" customHeight="1" x14ac:dyDescent="0.2">
      <c r="A3" s="27">
        <v>1</v>
      </c>
      <c r="B3" s="150" t="str">
        <f>TRANSAKSI!B4</f>
        <v>5 Januari</v>
      </c>
      <c r="C3" s="149" t="s">
        <v>165</v>
      </c>
      <c r="D3" s="28" t="s">
        <v>17</v>
      </c>
      <c r="E3" s="29">
        <v>787065800</v>
      </c>
      <c r="F3" s="29"/>
      <c r="G3" s="30"/>
      <c r="H3" s="30"/>
      <c r="K3" s="30"/>
    </row>
    <row r="4" spans="1:11" s="34" customFormat="1" ht="17" x14ac:dyDescent="0.2">
      <c r="A4" s="27"/>
      <c r="B4" s="150"/>
      <c r="C4" s="149"/>
      <c r="D4" s="28" t="s">
        <v>16</v>
      </c>
      <c r="E4" s="32"/>
      <c r="F4" s="29">
        <f>100/110*E3</f>
        <v>715514363.63636363</v>
      </c>
      <c r="G4" s="33"/>
      <c r="H4" s="33"/>
      <c r="K4" s="33"/>
    </row>
    <row r="5" spans="1:11" s="34" customFormat="1" ht="17" x14ac:dyDescent="0.2">
      <c r="A5" s="27"/>
      <c r="B5" s="150"/>
      <c r="C5" s="149"/>
      <c r="D5" s="28" t="s">
        <v>23</v>
      </c>
      <c r="E5" s="32"/>
      <c r="F5" s="29">
        <f>+E3-F4</f>
        <v>71551436.363636374</v>
      </c>
      <c r="G5" s="33"/>
      <c r="H5" s="33"/>
      <c r="K5" s="33"/>
    </row>
    <row r="6" spans="1:11" s="34" customFormat="1" x14ac:dyDescent="0.2">
      <c r="A6" s="27"/>
      <c r="B6" s="150"/>
      <c r="C6" s="149"/>
      <c r="D6" s="28"/>
      <c r="E6" s="32"/>
      <c r="F6" s="29"/>
      <c r="G6" s="33"/>
      <c r="H6" s="33"/>
      <c r="K6" s="33"/>
    </row>
    <row r="7" spans="1:11" s="34" customFormat="1" x14ac:dyDescent="0.2">
      <c r="A7" s="27"/>
      <c r="B7" s="150"/>
      <c r="C7" s="149"/>
      <c r="D7" s="35" t="s">
        <v>18</v>
      </c>
      <c r="E7" s="29">
        <v>363908500</v>
      </c>
      <c r="F7" s="36"/>
      <c r="G7" s="33"/>
      <c r="H7" s="33"/>
      <c r="K7" s="33"/>
    </row>
    <row r="8" spans="1:11" s="34" customFormat="1" x14ac:dyDescent="0.2">
      <c r="A8" s="27"/>
      <c r="B8" s="150"/>
      <c r="C8" s="149"/>
      <c r="D8" s="35" t="s">
        <v>19</v>
      </c>
      <c r="E8" s="36"/>
      <c r="F8" s="29">
        <v>363908500</v>
      </c>
      <c r="G8" s="33"/>
      <c r="H8" s="33"/>
      <c r="K8" s="33"/>
    </row>
    <row r="10" spans="1:11" s="34" customFormat="1" ht="14" customHeight="1" x14ac:dyDescent="0.2">
      <c r="A10" s="27">
        <v>2</v>
      </c>
      <c r="B10" s="150" t="str">
        <f>TRANSAKSI!B5</f>
        <v>12 Januari</v>
      </c>
      <c r="C10" s="149" t="s">
        <v>24</v>
      </c>
      <c r="D10" s="36" t="s">
        <v>21</v>
      </c>
      <c r="E10" s="36">
        <v>175000000</v>
      </c>
      <c r="F10" s="36"/>
      <c r="G10" s="33"/>
      <c r="H10" s="33"/>
      <c r="K10" s="33"/>
    </row>
    <row r="11" spans="1:11" s="34" customFormat="1" x14ac:dyDescent="0.2">
      <c r="A11" s="27"/>
      <c r="B11" s="150"/>
      <c r="C11" s="149"/>
      <c r="D11" s="35" t="s">
        <v>25</v>
      </c>
      <c r="E11" s="36">
        <f>10%*E10</f>
        <v>17500000</v>
      </c>
      <c r="F11" s="36"/>
      <c r="G11" s="33"/>
      <c r="H11" s="33"/>
      <c r="K11" s="33"/>
    </row>
    <row r="12" spans="1:11" s="34" customFormat="1" x14ac:dyDescent="0.2">
      <c r="A12" s="27"/>
      <c r="B12" s="150"/>
      <c r="C12" s="149"/>
      <c r="D12" s="35" t="s">
        <v>205</v>
      </c>
      <c r="E12" s="36"/>
      <c r="F12" s="36">
        <f>E10</f>
        <v>175000000</v>
      </c>
      <c r="G12" s="33"/>
      <c r="H12" s="33"/>
      <c r="K12" s="33"/>
    </row>
    <row r="13" spans="1:11" s="34" customFormat="1" x14ac:dyDescent="0.2">
      <c r="A13" s="27"/>
      <c r="B13" s="150"/>
      <c r="C13" s="149"/>
      <c r="D13" s="35" t="s">
        <v>23</v>
      </c>
      <c r="E13" s="36"/>
      <c r="F13" s="36">
        <f>10%*F12</f>
        <v>17500000</v>
      </c>
      <c r="G13" s="33"/>
      <c r="H13" s="33"/>
      <c r="K13" s="33"/>
    </row>
    <row r="14" spans="1:11" x14ac:dyDescent="0.2">
      <c r="C14" s="2"/>
    </row>
    <row r="15" spans="1:11" s="34" customFormat="1" ht="18" customHeight="1" x14ac:dyDescent="0.2">
      <c r="A15" s="27">
        <v>3</v>
      </c>
      <c r="B15" s="150" t="str">
        <f>TRANSAKSI!B6</f>
        <v>8 Februari</v>
      </c>
      <c r="C15" s="149" t="s">
        <v>50</v>
      </c>
      <c r="D15" s="39" t="s">
        <v>26</v>
      </c>
      <c r="E15" s="32">
        <f>5*(100/110*34845800)</f>
        <v>158390000</v>
      </c>
      <c r="F15" s="36"/>
      <c r="G15" s="33"/>
      <c r="H15" s="33"/>
      <c r="K15" s="33"/>
    </row>
    <row r="16" spans="1:11" s="34" customFormat="1" x14ac:dyDescent="0.2">
      <c r="A16" s="27"/>
      <c r="B16" s="150"/>
      <c r="C16" s="149"/>
      <c r="D16" s="35" t="s">
        <v>31</v>
      </c>
      <c r="E16" s="36">
        <f>10%*E15</f>
        <v>15839000</v>
      </c>
      <c r="F16" s="36"/>
      <c r="G16" s="33"/>
      <c r="H16" s="33"/>
      <c r="K16" s="33"/>
    </row>
    <row r="17" spans="1:11" s="34" customFormat="1" x14ac:dyDescent="0.2">
      <c r="A17" s="27"/>
      <c r="B17" s="150"/>
      <c r="C17" s="149"/>
      <c r="D17" s="35" t="s">
        <v>30</v>
      </c>
      <c r="E17" s="36"/>
      <c r="F17" s="36">
        <f>+E15+E16</f>
        <v>174229000</v>
      </c>
      <c r="G17" s="33"/>
      <c r="H17" s="33"/>
      <c r="K17" s="33"/>
    </row>
    <row r="19" spans="1:11" s="34" customFormat="1" ht="19" customHeight="1" x14ac:dyDescent="0.2">
      <c r="A19" s="27">
        <v>4</v>
      </c>
      <c r="B19" s="150" t="str">
        <f>TRANSAKSI!B7</f>
        <v>15 Februari</v>
      </c>
      <c r="C19" s="149" t="s">
        <v>33</v>
      </c>
      <c r="D19" s="39" t="s">
        <v>34</v>
      </c>
      <c r="E19" s="36">
        <v>150000000</v>
      </c>
      <c r="F19" s="36"/>
      <c r="G19" s="33"/>
      <c r="H19" s="33"/>
      <c r="K19" s="33"/>
    </row>
    <row r="20" spans="1:11" s="34" customFormat="1" x14ac:dyDescent="0.2">
      <c r="A20" s="27"/>
      <c r="B20" s="150"/>
      <c r="C20" s="149"/>
      <c r="D20" s="35" t="s">
        <v>31</v>
      </c>
      <c r="E20" s="36">
        <f>10%*E19</f>
        <v>15000000</v>
      </c>
      <c r="F20" s="36"/>
      <c r="G20" s="33"/>
      <c r="H20" s="33"/>
      <c r="K20" s="33"/>
    </row>
    <row r="21" spans="1:11" s="34" customFormat="1" x14ac:dyDescent="0.2">
      <c r="A21" s="27"/>
      <c r="B21" s="150"/>
      <c r="C21" s="149"/>
      <c r="D21" s="35" t="s">
        <v>35</v>
      </c>
      <c r="E21" s="36"/>
      <c r="F21" s="36">
        <f>+E19+E20</f>
        <v>165000000</v>
      </c>
      <c r="G21" s="33"/>
      <c r="H21" s="33"/>
      <c r="K21" s="33"/>
    </row>
    <row r="23" spans="1:11" s="34" customFormat="1" ht="18" customHeight="1" x14ac:dyDescent="0.2">
      <c r="A23" s="27">
        <v>5</v>
      </c>
      <c r="B23" s="150" t="str">
        <f>TRANSAKSI!B8</f>
        <v>27 Februari</v>
      </c>
      <c r="C23" s="149" t="s">
        <v>168</v>
      </c>
      <c r="D23" s="35" t="s">
        <v>21</v>
      </c>
      <c r="E23" s="36">
        <f>+(F26+F27)-(E24+E25)</f>
        <v>1167068295.4545455</v>
      </c>
      <c r="F23" s="36"/>
      <c r="G23" s="33"/>
      <c r="H23" s="33"/>
      <c r="K23" s="33"/>
    </row>
    <row r="24" spans="1:11" s="34" customFormat="1" x14ac:dyDescent="0.2">
      <c r="A24" s="27"/>
      <c r="B24" s="150"/>
      <c r="C24" s="149"/>
      <c r="D24" s="35" t="s">
        <v>36</v>
      </c>
      <c r="E24" s="36">
        <f>1.5%*F26</f>
        <v>17772613.636363633</v>
      </c>
      <c r="F24" s="36"/>
      <c r="G24" s="33"/>
      <c r="H24" s="33"/>
      <c r="K24" s="33"/>
    </row>
    <row r="25" spans="1:11" s="34" customFormat="1" x14ac:dyDescent="0.2">
      <c r="A25" s="27"/>
      <c r="B25" s="150"/>
      <c r="C25" s="149"/>
      <c r="D25" s="35" t="s">
        <v>37</v>
      </c>
      <c r="E25" s="36">
        <f>10%*F26</f>
        <v>118484090.90909091</v>
      </c>
      <c r="F25" s="36"/>
      <c r="G25" s="33"/>
      <c r="H25" s="33"/>
      <c r="K25" s="33"/>
    </row>
    <row r="26" spans="1:11" s="34" customFormat="1" x14ac:dyDescent="0.2">
      <c r="A26" s="27"/>
      <c r="B26" s="150"/>
      <c r="C26" s="149"/>
      <c r="D26" s="35" t="s">
        <v>38</v>
      </c>
      <c r="E26" s="36"/>
      <c r="F26" s="36">
        <f>0.909090909090909*1303325000</f>
        <v>1184840909.090909</v>
      </c>
      <c r="G26" s="33"/>
      <c r="H26" s="33"/>
      <c r="K26" s="33"/>
    </row>
    <row r="27" spans="1:11" s="34" customFormat="1" x14ac:dyDescent="0.2">
      <c r="A27" s="27"/>
      <c r="B27" s="150"/>
      <c r="C27" s="149"/>
      <c r="D27" s="35" t="s">
        <v>23</v>
      </c>
      <c r="E27" s="36"/>
      <c r="F27" s="36">
        <f>10%*F26</f>
        <v>118484090.90909091</v>
      </c>
      <c r="G27" s="33"/>
      <c r="H27" s="33"/>
      <c r="K27" s="33"/>
    </row>
    <row r="28" spans="1:11" s="34" customFormat="1" x14ac:dyDescent="0.2">
      <c r="A28" s="27"/>
      <c r="B28" s="150"/>
      <c r="C28" s="149"/>
      <c r="D28" s="35"/>
      <c r="E28" s="36"/>
      <c r="F28" s="36"/>
      <c r="G28" s="33"/>
      <c r="H28" s="33"/>
      <c r="K28" s="33"/>
    </row>
    <row r="29" spans="1:11" s="34" customFormat="1" x14ac:dyDescent="0.2">
      <c r="A29" s="27"/>
      <c r="B29" s="150"/>
      <c r="C29" s="149"/>
      <c r="D29" s="35" t="s">
        <v>18</v>
      </c>
      <c r="E29" s="36">
        <v>710000000</v>
      </c>
      <c r="F29" s="36"/>
      <c r="G29" s="33"/>
      <c r="H29" s="33"/>
      <c r="K29" s="33"/>
    </row>
    <row r="30" spans="1:11" s="34" customFormat="1" x14ac:dyDescent="0.2">
      <c r="A30" s="27"/>
      <c r="B30" s="150"/>
      <c r="C30" s="149"/>
      <c r="D30" s="35" t="s">
        <v>19</v>
      </c>
      <c r="E30" s="36"/>
      <c r="F30" s="36">
        <v>710000000</v>
      </c>
      <c r="G30" s="33"/>
      <c r="H30" s="33"/>
      <c r="K30" s="33"/>
    </row>
    <row r="32" spans="1:11" s="34" customFormat="1" ht="33" customHeight="1" x14ac:dyDescent="0.2">
      <c r="A32" s="42">
        <v>6</v>
      </c>
      <c r="B32" s="150" t="str">
        <f>TRANSAKSI!B9</f>
        <v>3 Maret</v>
      </c>
      <c r="C32" s="149" t="s">
        <v>51</v>
      </c>
      <c r="D32" s="28" t="s">
        <v>39</v>
      </c>
      <c r="E32" s="43">
        <v>175000000</v>
      </c>
      <c r="F32" s="36"/>
      <c r="G32" s="33"/>
      <c r="H32" s="33"/>
      <c r="K32" s="33"/>
    </row>
    <row r="33" spans="1:11" s="34" customFormat="1" x14ac:dyDescent="0.2">
      <c r="A33" s="27"/>
      <c r="B33" s="150"/>
      <c r="C33" s="149"/>
      <c r="D33" s="35" t="s">
        <v>31</v>
      </c>
      <c r="E33" s="36">
        <f>10%*E32</f>
        <v>17500000</v>
      </c>
      <c r="F33" s="36"/>
      <c r="G33" s="33"/>
      <c r="H33" s="33"/>
      <c r="K33" s="33"/>
    </row>
    <row r="34" spans="1:11" s="34" customFormat="1" x14ac:dyDescent="0.2">
      <c r="A34" s="27"/>
      <c r="B34" s="150"/>
      <c r="C34" s="149"/>
      <c r="D34" s="35" t="s">
        <v>21</v>
      </c>
      <c r="E34" s="36"/>
      <c r="F34" s="36">
        <f>+E32+E33-F35</f>
        <v>184625000</v>
      </c>
      <c r="G34" s="33"/>
      <c r="H34" s="33"/>
      <c r="K34" s="33"/>
    </row>
    <row r="35" spans="1:11" s="34" customFormat="1" x14ac:dyDescent="0.2">
      <c r="A35" s="27"/>
      <c r="B35" s="150"/>
      <c r="C35" s="149"/>
      <c r="D35" s="35" t="s">
        <v>40</v>
      </c>
      <c r="E35" s="36"/>
      <c r="F35" s="36">
        <f>+(15%*30%*E32)</f>
        <v>7875000</v>
      </c>
      <c r="G35" s="33"/>
      <c r="H35" s="33"/>
      <c r="K35" s="33"/>
    </row>
    <row r="37" spans="1:11" s="34" customFormat="1" ht="18" customHeight="1" x14ac:dyDescent="0.2">
      <c r="A37" s="27">
        <v>7</v>
      </c>
      <c r="B37" s="150" t="str">
        <f>TRANSAKSI!B10</f>
        <v>14 Maret</v>
      </c>
      <c r="C37" s="149" t="s">
        <v>47</v>
      </c>
      <c r="D37" s="35" t="s">
        <v>21</v>
      </c>
      <c r="E37" s="36">
        <f>+F39+F40-E38</f>
        <v>30929500</v>
      </c>
      <c r="F37" s="36"/>
      <c r="G37" s="33"/>
      <c r="H37" s="33"/>
      <c r="K37" s="33"/>
    </row>
    <row r="38" spans="1:11" s="34" customFormat="1" x14ac:dyDescent="0.2">
      <c r="A38" s="27"/>
      <c r="B38" s="150"/>
      <c r="C38" s="149"/>
      <c r="D38" s="35" t="s">
        <v>25</v>
      </c>
      <c r="E38" s="36">
        <f>0.1%*20500000</f>
        <v>20500</v>
      </c>
      <c r="F38" s="36"/>
      <c r="G38" s="33"/>
      <c r="H38" s="33"/>
      <c r="K38" s="33"/>
    </row>
    <row r="39" spans="1:11" s="34" customFormat="1" x14ac:dyDescent="0.2">
      <c r="A39" s="27"/>
      <c r="B39" s="150"/>
      <c r="C39" s="149"/>
      <c r="D39" s="35" t="s">
        <v>42</v>
      </c>
      <c r="E39" s="36"/>
      <c r="F39" s="36">
        <f>20500000-(10%*20500000)</f>
        <v>18450000</v>
      </c>
      <c r="G39" s="33"/>
      <c r="H39" s="33"/>
      <c r="K39" s="33"/>
    </row>
    <row r="40" spans="1:11" s="34" customFormat="1" x14ac:dyDescent="0.2">
      <c r="A40" s="27"/>
      <c r="B40" s="150"/>
      <c r="C40" s="149"/>
      <c r="D40" s="35" t="s">
        <v>43</v>
      </c>
      <c r="E40" s="36"/>
      <c r="F40" s="36">
        <v>12500000</v>
      </c>
      <c r="G40" s="33"/>
      <c r="H40" s="33"/>
      <c r="K40" s="33"/>
    </row>
    <row r="42" spans="1:11" s="34" customFormat="1" ht="17" customHeight="1" x14ac:dyDescent="0.2">
      <c r="A42" s="27">
        <v>8</v>
      </c>
      <c r="B42" s="150" t="str">
        <f>TRANSAKSI!B11</f>
        <v>21 Maret</v>
      </c>
      <c r="C42" s="149" t="s">
        <v>45</v>
      </c>
      <c r="D42" s="35" t="s">
        <v>21</v>
      </c>
      <c r="E42" s="36">
        <f>+F44-E43</f>
        <v>126040000</v>
      </c>
      <c r="F42" s="36"/>
      <c r="G42" s="33"/>
      <c r="H42" s="33"/>
      <c r="K42" s="33"/>
    </row>
    <row r="43" spans="1:11" s="34" customFormat="1" x14ac:dyDescent="0.2">
      <c r="A43" s="27"/>
      <c r="B43" s="150"/>
      <c r="C43" s="149"/>
      <c r="D43" s="35" t="s">
        <v>25</v>
      </c>
      <c r="E43" s="36">
        <f>20%*F44</f>
        <v>31510000</v>
      </c>
      <c r="F43" s="36"/>
      <c r="G43" s="33"/>
      <c r="H43" s="33"/>
      <c r="K43" s="33"/>
    </row>
    <row r="44" spans="1:11" s="34" customFormat="1" x14ac:dyDescent="0.2">
      <c r="A44" s="27"/>
      <c r="B44" s="150"/>
      <c r="C44" s="149"/>
      <c r="D44" s="35" t="s">
        <v>46</v>
      </c>
      <c r="E44" s="36"/>
      <c r="F44" s="36">
        <v>157550000</v>
      </c>
      <c r="G44" s="33"/>
      <c r="H44" s="33"/>
      <c r="K44" s="33"/>
    </row>
    <row r="46" spans="1:11" s="34" customFormat="1" ht="17" customHeight="1" x14ac:dyDescent="0.2">
      <c r="A46" s="27">
        <v>9</v>
      </c>
      <c r="B46" s="150" t="str">
        <f>TRANSAKSI!B12</f>
        <v>30 Maret</v>
      </c>
      <c r="C46" s="149" t="s">
        <v>48</v>
      </c>
      <c r="D46" s="35" t="s">
        <v>21</v>
      </c>
      <c r="E46" s="36">
        <f>+F49-E47-E48</f>
        <v>48400000</v>
      </c>
      <c r="F46" s="36"/>
      <c r="G46" s="33"/>
      <c r="H46" s="33"/>
      <c r="K46" s="33"/>
    </row>
    <row r="47" spans="1:11" s="34" customFormat="1" x14ac:dyDescent="0.2">
      <c r="A47" s="27"/>
      <c r="B47" s="150"/>
      <c r="C47" s="149"/>
      <c r="D47" s="35" t="s">
        <v>25</v>
      </c>
      <c r="E47" s="36">
        <f>20%*60500000</f>
        <v>12100000</v>
      </c>
      <c r="F47" s="36"/>
      <c r="G47" s="33"/>
      <c r="H47" s="33"/>
      <c r="K47" s="33"/>
    </row>
    <row r="48" spans="1:11" s="34" customFormat="1" x14ac:dyDescent="0.2">
      <c r="A48" s="27"/>
      <c r="B48" s="150"/>
      <c r="C48" s="149"/>
      <c r="D48" s="35" t="s">
        <v>52</v>
      </c>
      <c r="E48" s="36">
        <f>72750000-60500000</f>
        <v>12250000</v>
      </c>
      <c r="F48" s="36"/>
      <c r="G48" s="33"/>
      <c r="H48" s="33"/>
      <c r="K48" s="33"/>
    </row>
    <row r="49" spans="1:11" s="34" customFormat="1" x14ac:dyDescent="0.2">
      <c r="A49" s="27"/>
      <c r="B49" s="150"/>
      <c r="C49" s="149"/>
      <c r="D49" s="35" t="s">
        <v>53</v>
      </c>
      <c r="E49" s="36"/>
      <c r="F49" s="36">
        <v>72750000</v>
      </c>
      <c r="G49" s="33"/>
      <c r="H49" s="33"/>
      <c r="K49" s="33"/>
    </row>
    <row r="51" spans="1:11" s="34" customFormat="1" ht="18" customHeight="1" x14ac:dyDescent="0.2">
      <c r="A51" s="27">
        <v>10</v>
      </c>
      <c r="B51" s="151">
        <f>TRANSAKSI!B13</f>
        <v>43925</v>
      </c>
      <c r="C51" s="149" t="s">
        <v>170</v>
      </c>
      <c r="D51" s="28" t="s">
        <v>21</v>
      </c>
      <c r="E51" s="36">
        <v>1640475000</v>
      </c>
      <c r="F51" s="36"/>
      <c r="G51" s="33"/>
      <c r="H51" s="33"/>
      <c r="K51" s="33"/>
    </row>
    <row r="52" spans="1:11" s="34" customFormat="1" ht="17" x14ac:dyDescent="0.2">
      <c r="A52" s="27"/>
      <c r="B52" s="150"/>
      <c r="C52" s="149"/>
      <c r="D52" s="28" t="s">
        <v>16</v>
      </c>
      <c r="E52" s="36"/>
      <c r="F52" s="36">
        <f>0.909090909090909*E51</f>
        <v>1491340909.090909</v>
      </c>
      <c r="G52" s="33"/>
      <c r="H52" s="33"/>
      <c r="K52" s="33"/>
    </row>
    <row r="53" spans="1:11" s="34" customFormat="1" ht="17" x14ac:dyDescent="0.2">
      <c r="A53" s="27"/>
      <c r="B53" s="150"/>
      <c r="C53" s="149"/>
      <c r="D53" s="28" t="s">
        <v>23</v>
      </c>
      <c r="E53" s="36"/>
      <c r="F53" s="36">
        <f>+E51-F52</f>
        <v>149134090.909091</v>
      </c>
      <c r="G53" s="33"/>
      <c r="H53" s="33"/>
      <c r="K53" s="33"/>
    </row>
    <row r="54" spans="1:11" s="34" customFormat="1" x14ac:dyDescent="0.2">
      <c r="A54" s="27"/>
      <c r="B54" s="150"/>
      <c r="C54" s="149"/>
      <c r="D54" s="28"/>
      <c r="E54" s="36"/>
      <c r="F54" s="36"/>
      <c r="G54" s="33"/>
      <c r="H54" s="33"/>
      <c r="K54" s="33"/>
    </row>
    <row r="55" spans="1:11" s="34" customFormat="1" x14ac:dyDescent="0.2">
      <c r="A55" s="27"/>
      <c r="B55" s="150"/>
      <c r="C55" s="149"/>
      <c r="D55" s="35" t="s">
        <v>18</v>
      </c>
      <c r="E55" s="36">
        <v>836687500</v>
      </c>
      <c r="F55" s="36"/>
      <c r="G55" s="33"/>
      <c r="H55" s="33"/>
      <c r="K55" s="33"/>
    </row>
    <row r="56" spans="1:11" s="34" customFormat="1" x14ac:dyDescent="0.2">
      <c r="A56" s="27"/>
      <c r="B56" s="150"/>
      <c r="C56" s="149"/>
      <c r="D56" s="35" t="s">
        <v>19</v>
      </c>
      <c r="E56" s="36"/>
      <c r="F56" s="36">
        <f>E55</f>
        <v>836687500</v>
      </c>
      <c r="G56" s="33"/>
      <c r="H56" s="33"/>
      <c r="K56" s="33"/>
    </row>
    <row r="58" spans="1:11" s="34" customFormat="1" ht="19" customHeight="1" x14ac:dyDescent="0.2">
      <c r="A58" s="27">
        <v>11</v>
      </c>
      <c r="B58" s="151">
        <f>TRANSAKSI!B14</f>
        <v>43933</v>
      </c>
      <c r="C58" s="149" t="s">
        <v>54</v>
      </c>
      <c r="D58" s="39" t="s">
        <v>34</v>
      </c>
      <c r="E58" s="36">
        <f>25*(0.909090909090909*8332050)</f>
        <v>189364772.72727272</v>
      </c>
      <c r="F58" s="36"/>
      <c r="G58" s="33"/>
      <c r="H58" s="33"/>
      <c r="K58" s="33"/>
    </row>
    <row r="59" spans="1:11" s="34" customFormat="1" x14ac:dyDescent="0.2">
      <c r="A59" s="27"/>
      <c r="B59" s="150"/>
      <c r="C59" s="149"/>
      <c r="D59" s="35" t="s">
        <v>31</v>
      </c>
      <c r="E59" s="36">
        <f>10%*E58</f>
        <v>18936477.272727273</v>
      </c>
      <c r="F59" s="36"/>
      <c r="G59" s="33"/>
      <c r="H59" s="33"/>
      <c r="K59" s="33"/>
    </row>
    <row r="60" spans="1:11" s="34" customFormat="1" x14ac:dyDescent="0.2">
      <c r="A60" s="27"/>
      <c r="B60" s="150"/>
      <c r="C60" s="149"/>
      <c r="D60" s="35" t="s">
        <v>21</v>
      </c>
      <c r="E60" s="36"/>
      <c r="F60" s="36">
        <f>+E58+E59</f>
        <v>208301250</v>
      </c>
      <c r="G60" s="33"/>
      <c r="H60" s="33"/>
      <c r="K60" s="33"/>
    </row>
    <row r="61" spans="1:11" s="34" customFormat="1" x14ac:dyDescent="0.2">
      <c r="A61" s="44"/>
      <c r="B61" s="45"/>
      <c r="C61" s="46"/>
      <c r="E61" s="33"/>
      <c r="F61" s="33"/>
      <c r="G61" s="33"/>
      <c r="H61" s="33"/>
      <c r="K61" s="33"/>
    </row>
    <row r="62" spans="1:11" s="34" customFormat="1" ht="16" customHeight="1" x14ac:dyDescent="0.2">
      <c r="A62" s="27">
        <v>12</v>
      </c>
      <c r="B62" s="151">
        <f>TRANSAKSI!B15</f>
        <v>43936</v>
      </c>
      <c r="C62" s="149" t="s">
        <v>171</v>
      </c>
      <c r="D62" s="28" t="s">
        <v>21</v>
      </c>
      <c r="E62" s="36">
        <f>+F63+F64</f>
        <v>937500000</v>
      </c>
      <c r="F62" s="36"/>
      <c r="G62" s="33"/>
      <c r="H62" s="33"/>
      <c r="K62" s="33"/>
    </row>
    <row r="63" spans="1:11" s="34" customFormat="1" ht="17" x14ac:dyDescent="0.2">
      <c r="A63" s="27"/>
      <c r="B63" s="150"/>
      <c r="C63" s="149"/>
      <c r="D63" s="28" t="s">
        <v>16</v>
      </c>
      <c r="E63" s="36"/>
      <c r="F63" s="36">
        <f>5*(0.909090909090909*187500000)</f>
        <v>852272727.27272725</v>
      </c>
      <c r="G63" s="33"/>
      <c r="H63" s="33"/>
      <c r="K63" s="33"/>
    </row>
    <row r="64" spans="1:11" s="34" customFormat="1" ht="17" x14ac:dyDescent="0.2">
      <c r="A64" s="27"/>
      <c r="B64" s="150"/>
      <c r="C64" s="149"/>
      <c r="D64" s="28" t="s">
        <v>23</v>
      </c>
      <c r="E64" s="36"/>
      <c r="F64" s="36">
        <f>10%*F63</f>
        <v>85227272.727272734</v>
      </c>
      <c r="G64" s="33"/>
      <c r="H64" s="33"/>
      <c r="K64" s="33"/>
    </row>
    <row r="65" spans="1:11" s="34" customFormat="1" x14ac:dyDescent="0.2">
      <c r="A65" s="27"/>
      <c r="B65" s="150"/>
      <c r="C65" s="149"/>
      <c r="D65" s="28"/>
      <c r="E65" s="36"/>
      <c r="F65" s="36"/>
      <c r="G65" s="33"/>
      <c r="H65" s="33"/>
      <c r="K65" s="33"/>
    </row>
    <row r="66" spans="1:11" s="34" customFormat="1" x14ac:dyDescent="0.2">
      <c r="A66" s="27"/>
      <c r="B66" s="150"/>
      <c r="C66" s="149"/>
      <c r="D66" s="35" t="s">
        <v>18</v>
      </c>
      <c r="E66" s="36">
        <f>5*75000000</f>
        <v>375000000</v>
      </c>
      <c r="F66" s="36"/>
      <c r="G66" s="33"/>
      <c r="H66" s="33"/>
      <c r="K66" s="33"/>
    </row>
    <row r="67" spans="1:11" s="34" customFormat="1" x14ac:dyDescent="0.2">
      <c r="A67" s="27"/>
      <c r="B67" s="150"/>
      <c r="C67" s="149"/>
      <c r="D67" s="35" t="s">
        <v>19</v>
      </c>
      <c r="E67" s="36"/>
      <c r="F67" s="36">
        <f>E66</f>
        <v>375000000</v>
      </c>
      <c r="G67" s="33"/>
      <c r="H67" s="33"/>
      <c r="K67" s="33"/>
    </row>
    <row r="68" spans="1:11" x14ac:dyDescent="0.2">
      <c r="C68" s="26"/>
    </row>
    <row r="69" spans="1:11" s="34" customFormat="1" ht="18" customHeight="1" x14ac:dyDescent="0.2">
      <c r="A69" s="27">
        <v>13</v>
      </c>
      <c r="B69" s="151">
        <f>TRANSAKSI!B16</f>
        <v>43949</v>
      </c>
      <c r="C69" s="149" t="s">
        <v>55</v>
      </c>
      <c r="D69" s="39" t="s">
        <v>21</v>
      </c>
      <c r="E69" s="36">
        <v>175000000</v>
      </c>
      <c r="F69" s="36"/>
      <c r="G69" s="33"/>
      <c r="H69" s="33"/>
      <c r="K69" s="33"/>
    </row>
    <row r="70" spans="1:11" s="34" customFormat="1" x14ac:dyDescent="0.2">
      <c r="A70" s="27"/>
      <c r="B70" s="150"/>
      <c r="C70" s="149"/>
      <c r="D70" s="39" t="s">
        <v>25</v>
      </c>
      <c r="E70" s="36">
        <f>10%*175000000</f>
        <v>17500000</v>
      </c>
      <c r="F70" s="36"/>
      <c r="G70" s="33"/>
      <c r="H70" s="33"/>
      <c r="K70" s="33"/>
    </row>
    <row r="71" spans="1:11" s="34" customFormat="1" ht="34" x14ac:dyDescent="0.2">
      <c r="A71" s="27"/>
      <c r="B71" s="150"/>
      <c r="C71" s="149"/>
      <c r="D71" s="47" t="s">
        <v>56</v>
      </c>
      <c r="E71" s="36"/>
      <c r="F71" s="36">
        <v>175000000</v>
      </c>
      <c r="G71" s="33"/>
      <c r="H71" s="33"/>
      <c r="K71" s="33"/>
    </row>
    <row r="72" spans="1:11" s="34" customFormat="1" x14ac:dyDescent="0.2">
      <c r="A72" s="27"/>
      <c r="B72" s="150"/>
      <c r="C72" s="149"/>
      <c r="D72" s="35" t="s">
        <v>23</v>
      </c>
      <c r="E72" s="36"/>
      <c r="F72" s="36">
        <f>10%*F71</f>
        <v>17500000</v>
      </c>
      <c r="G72" s="33"/>
      <c r="H72" s="33"/>
      <c r="K72" s="33"/>
    </row>
    <row r="74" spans="1:11" s="34" customFormat="1" ht="18" customHeight="1" x14ac:dyDescent="0.2">
      <c r="A74" s="42">
        <v>14</v>
      </c>
      <c r="B74" s="150" t="str">
        <f>TRANSAKSI!B18</f>
        <v>1 Mei</v>
      </c>
      <c r="C74" s="149" t="s">
        <v>58</v>
      </c>
      <c r="D74" s="48" t="s">
        <v>57</v>
      </c>
      <c r="E74" s="36">
        <f>12*6750000</f>
        <v>81000000</v>
      </c>
      <c r="F74" s="36"/>
      <c r="G74" s="33"/>
      <c r="H74" s="33"/>
      <c r="K74" s="33"/>
    </row>
    <row r="75" spans="1:11" s="34" customFormat="1" x14ac:dyDescent="0.2">
      <c r="A75" s="27"/>
      <c r="B75" s="150"/>
      <c r="C75" s="149"/>
      <c r="D75" s="35" t="s">
        <v>31</v>
      </c>
      <c r="E75" s="36">
        <f>10%*E74</f>
        <v>8100000</v>
      </c>
      <c r="F75" s="36"/>
      <c r="G75" s="33"/>
      <c r="H75" s="33"/>
      <c r="K75" s="33"/>
    </row>
    <row r="76" spans="1:11" s="34" customFormat="1" x14ac:dyDescent="0.2">
      <c r="A76" s="27"/>
      <c r="B76" s="150"/>
      <c r="C76" s="149"/>
      <c r="D76" s="35" t="s">
        <v>25</v>
      </c>
      <c r="E76" s="36"/>
      <c r="F76" s="36">
        <f>10%*E74</f>
        <v>8100000</v>
      </c>
      <c r="G76" s="33"/>
      <c r="H76" s="33"/>
      <c r="K76" s="33"/>
    </row>
    <row r="77" spans="1:11" s="34" customFormat="1" x14ac:dyDescent="0.2">
      <c r="A77" s="27"/>
      <c r="B77" s="150"/>
      <c r="C77" s="149"/>
      <c r="D77" s="35" t="s">
        <v>21</v>
      </c>
      <c r="E77" s="36"/>
      <c r="F77" s="36">
        <v>81000000</v>
      </c>
      <c r="G77" s="33"/>
      <c r="H77" s="33"/>
      <c r="K77" s="33"/>
    </row>
    <row r="79" spans="1:11" s="34" customFormat="1" ht="19" customHeight="1" x14ac:dyDescent="0.2">
      <c r="A79" s="27">
        <v>25</v>
      </c>
      <c r="B79" s="150" t="s">
        <v>88</v>
      </c>
      <c r="C79" s="149" t="s">
        <v>91</v>
      </c>
      <c r="D79" s="35" t="s">
        <v>21</v>
      </c>
      <c r="E79" s="36">
        <v>52200000</v>
      </c>
      <c r="F79" s="36"/>
      <c r="G79" s="33"/>
      <c r="H79" s="33"/>
      <c r="K79" s="33"/>
    </row>
    <row r="80" spans="1:11" s="34" customFormat="1" x14ac:dyDescent="0.2">
      <c r="A80" s="27"/>
      <c r="B80" s="150"/>
      <c r="C80" s="149"/>
      <c r="D80" s="35" t="s">
        <v>86</v>
      </c>
      <c r="E80" s="36">
        <v>5800000</v>
      </c>
      <c r="F80" s="36"/>
      <c r="G80" s="33"/>
      <c r="H80" s="33"/>
      <c r="K80" s="33"/>
    </row>
    <row r="81" spans="1:11" s="34" customFormat="1" x14ac:dyDescent="0.2">
      <c r="A81" s="27"/>
      <c r="B81" s="150"/>
      <c r="C81" s="149"/>
      <c r="D81" s="35" t="s">
        <v>87</v>
      </c>
      <c r="E81" s="36"/>
      <c r="F81" s="36">
        <v>58000000</v>
      </c>
      <c r="G81" s="33"/>
      <c r="H81" s="33"/>
      <c r="K81" s="33"/>
    </row>
    <row r="82" spans="1:11" x14ac:dyDescent="0.2">
      <c r="A82" s="12"/>
      <c r="B82" s="153" t="s">
        <v>89</v>
      </c>
      <c r="C82" s="23"/>
      <c r="D82" s="13" t="s">
        <v>84</v>
      </c>
      <c r="E82" s="14">
        <v>3866667</v>
      </c>
      <c r="F82" s="14"/>
    </row>
    <row r="83" spans="1:11" x14ac:dyDescent="0.2">
      <c r="A83" s="12"/>
      <c r="B83" s="153"/>
      <c r="C83" s="23"/>
      <c r="D83" s="13" t="s">
        <v>86</v>
      </c>
      <c r="E83" s="14"/>
      <c r="F83" s="14">
        <f>E82</f>
        <v>3866667</v>
      </c>
    </row>
    <row r="84" spans="1:11" x14ac:dyDescent="0.2">
      <c r="A84" s="12"/>
      <c r="B84" s="153"/>
      <c r="C84" s="23"/>
      <c r="D84" s="13" t="s">
        <v>90</v>
      </c>
      <c r="E84" s="14">
        <v>3866667</v>
      </c>
      <c r="F84" s="14"/>
    </row>
    <row r="85" spans="1:11" x14ac:dyDescent="0.2">
      <c r="A85" s="12"/>
      <c r="B85" s="153"/>
      <c r="C85" s="23"/>
      <c r="D85" s="13" t="s">
        <v>84</v>
      </c>
      <c r="E85" s="14"/>
      <c r="F85" s="14">
        <f>E84</f>
        <v>3866667</v>
      </c>
    </row>
    <row r="86" spans="1:11" x14ac:dyDescent="0.2">
      <c r="C86" s="22"/>
    </row>
    <row r="87" spans="1:11" s="34" customFormat="1" ht="23" customHeight="1" x14ac:dyDescent="0.2">
      <c r="A87" s="152">
        <v>15</v>
      </c>
      <c r="B87" s="150" t="str">
        <f>TRANSAKSI!B19</f>
        <v>7 Juni</v>
      </c>
      <c r="C87" s="149" t="s">
        <v>62</v>
      </c>
      <c r="D87" s="35" t="s">
        <v>19</v>
      </c>
      <c r="E87" s="36">
        <v>973690625</v>
      </c>
      <c r="F87" s="36"/>
      <c r="G87" s="33"/>
      <c r="H87" s="33"/>
      <c r="K87" s="33"/>
    </row>
    <row r="88" spans="1:11" s="34" customFormat="1" ht="20" customHeight="1" x14ac:dyDescent="0.2">
      <c r="A88" s="152"/>
      <c r="B88" s="150"/>
      <c r="C88" s="149"/>
      <c r="D88" s="35" t="s">
        <v>61</v>
      </c>
      <c r="E88" s="36">
        <f>2.5%*E87</f>
        <v>24342265.625</v>
      </c>
      <c r="F88" s="36"/>
      <c r="G88" s="33"/>
      <c r="H88" s="33"/>
      <c r="I88" s="49"/>
      <c r="J88" s="49"/>
      <c r="K88" s="33"/>
    </row>
    <row r="89" spans="1:11" s="34" customFormat="1" ht="18" customHeight="1" x14ac:dyDescent="0.2">
      <c r="A89" s="152"/>
      <c r="B89" s="150"/>
      <c r="C89" s="149"/>
      <c r="D89" s="35" t="s">
        <v>31</v>
      </c>
      <c r="E89" s="36">
        <f>10%*E87</f>
        <v>97369062.5</v>
      </c>
      <c r="F89" s="36"/>
      <c r="G89" s="33"/>
      <c r="H89" s="33"/>
      <c r="K89" s="33"/>
    </row>
    <row r="90" spans="1:11" s="34" customFormat="1" ht="20" customHeight="1" x14ac:dyDescent="0.2">
      <c r="A90" s="152"/>
      <c r="B90" s="150"/>
      <c r="C90" s="149"/>
      <c r="D90" s="35" t="s">
        <v>21</v>
      </c>
      <c r="E90" s="36"/>
      <c r="F90" s="36">
        <f>+E87+E88+E89</f>
        <v>1095401953.125</v>
      </c>
      <c r="G90" s="33"/>
      <c r="H90" s="33"/>
      <c r="K90" s="33"/>
    </row>
    <row r="91" spans="1:11" x14ac:dyDescent="0.2">
      <c r="C91" s="22"/>
    </row>
    <row r="92" spans="1:11" s="34" customFormat="1" ht="19" customHeight="1" x14ac:dyDescent="0.2">
      <c r="A92" s="27">
        <v>16</v>
      </c>
      <c r="B92" s="150" t="str">
        <f>TRANSAKSI!B20</f>
        <v>10 Juni</v>
      </c>
      <c r="C92" s="149" t="s">
        <v>65</v>
      </c>
      <c r="D92" s="35" t="s">
        <v>34</v>
      </c>
      <c r="E92" s="36">
        <f>0.909090909090909*113300000</f>
        <v>103000000</v>
      </c>
      <c r="F92" s="36"/>
      <c r="G92" s="33"/>
      <c r="H92" s="33"/>
      <c r="K92" s="33"/>
    </row>
    <row r="93" spans="1:11" s="34" customFormat="1" x14ac:dyDescent="0.2">
      <c r="A93" s="27"/>
      <c r="B93" s="150"/>
      <c r="C93" s="149"/>
      <c r="D93" s="35" t="s">
        <v>64</v>
      </c>
      <c r="E93" s="36">
        <f>0.1%*E92</f>
        <v>103000</v>
      </c>
      <c r="F93" s="36"/>
      <c r="G93" s="33"/>
      <c r="H93" s="33"/>
      <c r="K93" s="33"/>
    </row>
    <row r="94" spans="1:11" s="34" customFormat="1" x14ac:dyDescent="0.2">
      <c r="A94" s="27"/>
      <c r="B94" s="150"/>
      <c r="C94" s="149"/>
      <c r="D94" s="35" t="s">
        <v>31</v>
      </c>
      <c r="E94" s="36">
        <f>10%*E92</f>
        <v>10300000</v>
      </c>
      <c r="F94" s="36"/>
      <c r="G94" s="33"/>
      <c r="H94" s="33"/>
      <c r="K94" s="33"/>
    </row>
    <row r="95" spans="1:11" s="34" customFormat="1" x14ac:dyDescent="0.2">
      <c r="A95" s="27"/>
      <c r="B95" s="150"/>
      <c r="C95" s="149"/>
      <c r="D95" s="35" t="s">
        <v>21</v>
      </c>
      <c r="E95" s="36"/>
      <c r="F95" s="36">
        <f>+E92+E93+E94</f>
        <v>113403000</v>
      </c>
      <c r="G95" s="33"/>
      <c r="H95" s="33"/>
      <c r="K95" s="33"/>
    </row>
    <row r="97" spans="1:11" s="34" customFormat="1" ht="18" customHeight="1" x14ac:dyDescent="0.2">
      <c r="A97" s="27">
        <v>17</v>
      </c>
      <c r="B97" s="150" t="str">
        <f>TRANSAKSI!B21</f>
        <v>20 Juni</v>
      </c>
      <c r="C97" s="149" t="s">
        <v>67</v>
      </c>
      <c r="D97" s="35" t="s">
        <v>66</v>
      </c>
      <c r="E97" s="36">
        <f>0.769230769230769*(5*950000000)</f>
        <v>3653846153.8461528</v>
      </c>
      <c r="F97" s="36"/>
      <c r="G97" s="33"/>
      <c r="H97" s="33"/>
      <c r="K97" s="33"/>
    </row>
    <row r="98" spans="1:11" s="34" customFormat="1" x14ac:dyDescent="0.2">
      <c r="A98" s="27"/>
      <c r="B98" s="150"/>
      <c r="C98" s="149"/>
      <c r="D98" s="35" t="s">
        <v>64</v>
      </c>
      <c r="E98" s="36">
        <f>0.45%*E97</f>
        <v>16442307.69230769</v>
      </c>
      <c r="F98" s="36"/>
      <c r="G98" s="33"/>
      <c r="H98" s="33"/>
      <c r="K98" s="33"/>
    </row>
    <row r="99" spans="1:11" s="34" customFormat="1" x14ac:dyDescent="0.2">
      <c r="A99" s="27"/>
      <c r="B99" s="150"/>
      <c r="C99" s="149"/>
      <c r="D99" s="35" t="s">
        <v>31</v>
      </c>
      <c r="E99" s="36">
        <f>10%*E97</f>
        <v>365384615.3846153</v>
      </c>
      <c r="F99" s="36"/>
      <c r="G99" s="33"/>
      <c r="H99" s="33"/>
      <c r="K99" s="33"/>
    </row>
    <row r="100" spans="1:11" s="34" customFormat="1" x14ac:dyDescent="0.2">
      <c r="A100" s="27"/>
      <c r="B100" s="150"/>
      <c r="C100" s="149"/>
      <c r="D100" s="35" t="s">
        <v>35</v>
      </c>
      <c r="E100" s="36"/>
      <c r="F100" s="36">
        <f>+E97+E98+E99</f>
        <v>4035673076.9230757</v>
      </c>
      <c r="G100" s="33"/>
      <c r="H100" s="33"/>
      <c r="K100" s="33"/>
    </row>
    <row r="101" spans="1:11" x14ac:dyDescent="0.2">
      <c r="C101" s="22"/>
    </row>
    <row r="102" spans="1:11" s="34" customFormat="1" ht="15" customHeight="1" x14ac:dyDescent="0.2">
      <c r="A102" s="27">
        <v>18</v>
      </c>
      <c r="B102" s="150" t="str">
        <f>TRANSAKSI!B22</f>
        <v>7 Juli</v>
      </c>
      <c r="C102" s="149" t="s">
        <v>69</v>
      </c>
      <c r="D102" s="35" t="s">
        <v>21</v>
      </c>
      <c r="E102" s="36">
        <v>55000000</v>
      </c>
      <c r="F102" s="36"/>
      <c r="G102" s="33"/>
      <c r="H102" s="33"/>
      <c r="K102" s="33"/>
    </row>
    <row r="103" spans="1:11" s="34" customFormat="1" x14ac:dyDescent="0.2">
      <c r="A103" s="27"/>
      <c r="B103" s="150"/>
      <c r="C103" s="149"/>
      <c r="D103" s="35" t="s">
        <v>40</v>
      </c>
      <c r="E103" s="36">
        <f>15%*E102</f>
        <v>8250000</v>
      </c>
      <c r="F103" s="36"/>
      <c r="G103" s="33"/>
      <c r="H103" s="33"/>
      <c r="K103" s="33"/>
    </row>
    <row r="104" spans="1:11" s="34" customFormat="1" x14ac:dyDescent="0.2">
      <c r="A104" s="27"/>
      <c r="B104" s="150"/>
      <c r="C104" s="149"/>
      <c r="D104" s="35" t="s">
        <v>70</v>
      </c>
      <c r="E104" s="36"/>
      <c r="F104" s="36">
        <f>+E102+E103</f>
        <v>63250000</v>
      </c>
      <c r="G104" s="33"/>
      <c r="H104" s="33"/>
      <c r="K104" s="33"/>
    </row>
    <row r="105" spans="1:11" x14ac:dyDescent="0.2">
      <c r="C105" s="22"/>
    </row>
    <row r="106" spans="1:11" ht="18" customHeight="1" x14ac:dyDescent="0.2">
      <c r="A106" s="12">
        <v>19</v>
      </c>
      <c r="B106" s="153" t="str">
        <f>TRANSAKSI!B23</f>
        <v>18 Juli</v>
      </c>
      <c r="C106" s="154" t="s">
        <v>75</v>
      </c>
      <c r="D106" s="35" t="s">
        <v>71</v>
      </c>
      <c r="E106" s="36">
        <v>670000000</v>
      </c>
      <c r="F106" s="36"/>
    </row>
    <row r="107" spans="1:11" x14ac:dyDescent="0.2">
      <c r="A107" s="12"/>
      <c r="B107" s="153"/>
      <c r="C107" s="154"/>
      <c r="D107" s="35" t="s">
        <v>21</v>
      </c>
      <c r="E107" s="36"/>
      <c r="F107" s="36">
        <v>670000000</v>
      </c>
    </row>
    <row r="108" spans="1:11" x14ac:dyDescent="0.2">
      <c r="A108" s="12"/>
      <c r="B108" s="153"/>
      <c r="C108" s="154"/>
      <c r="D108" s="13" t="s">
        <v>73</v>
      </c>
      <c r="E108" s="14">
        <f>+E106/10</f>
        <v>67000000</v>
      </c>
      <c r="F108" s="14"/>
    </row>
    <row r="109" spans="1:11" x14ac:dyDescent="0.2">
      <c r="A109" s="12"/>
      <c r="B109" s="153"/>
      <c r="C109" s="154"/>
      <c r="D109" s="13" t="s">
        <v>74</v>
      </c>
      <c r="E109" s="14"/>
      <c r="F109" s="14">
        <f>E108</f>
        <v>67000000</v>
      </c>
    </row>
    <row r="110" spans="1:11" x14ac:dyDescent="0.2">
      <c r="C110" s="22"/>
    </row>
    <row r="111" spans="1:11" ht="20" customHeight="1" x14ac:dyDescent="0.2">
      <c r="A111" s="12">
        <v>20</v>
      </c>
      <c r="B111" s="153" t="str">
        <f>TRANSAKSI!B24</f>
        <v>29 Juli</v>
      </c>
      <c r="C111" s="154" t="s">
        <v>76</v>
      </c>
      <c r="D111" s="35" t="s">
        <v>71</v>
      </c>
      <c r="E111" s="36">
        <v>350000000</v>
      </c>
      <c r="F111" s="36"/>
    </row>
    <row r="112" spans="1:11" x14ac:dyDescent="0.2">
      <c r="A112" s="12"/>
      <c r="B112" s="153"/>
      <c r="C112" s="154"/>
      <c r="D112" s="35" t="s">
        <v>21</v>
      </c>
      <c r="E112" s="36"/>
      <c r="F112" s="36">
        <f>E111</f>
        <v>350000000</v>
      </c>
    </row>
    <row r="113" spans="1:11" x14ac:dyDescent="0.2">
      <c r="A113" s="12"/>
      <c r="B113" s="153"/>
      <c r="C113" s="154"/>
      <c r="D113" s="13" t="s">
        <v>73</v>
      </c>
      <c r="E113" s="14">
        <f>+E111/5</f>
        <v>70000000</v>
      </c>
      <c r="F113" s="14"/>
    </row>
    <row r="114" spans="1:11" x14ac:dyDescent="0.2">
      <c r="A114" s="12"/>
      <c r="B114" s="153"/>
      <c r="C114" s="154"/>
      <c r="D114" s="13" t="s">
        <v>74</v>
      </c>
      <c r="E114" s="14"/>
      <c r="F114" s="14">
        <f>E113</f>
        <v>70000000</v>
      </c>
    </row>
    <row r="115" spans="1:11" x14ac:dyDescent="0.2">
      <c r="C115" s="22"/>
    </row>
    <row r="116" spans="1:11" s="34" customFormat="1" ht="23" customHeight="1" x14ac:dyDescent="0.2">
      <c r="A116" s="27">
        <v>21</v>
      </c>
      <c r="B116" s="53" t="str">
        <f>TRANSAKSI!B26</f>
        <v>29 Agustus</v>
      </c>
      <c r="C116" s="149" t="s">
        <v>80</v>
      </c>
      <c r="D116" s="35" t="s">
        <v>78</v>
      </c>
      <c r="E116" s="36">
        <v>1257575000</v>
      </c>
      <c r="F116" s="36"/>
      <c r="G116" s="33"/>
      <c r="H116" s="33"/>
      <c r="K116" s="33"/>
    </row>
    <row r="117" spans="1:11" s="34" customFormat="1" x14ac:dyDescent="0.2">
      <c r="A117" s="27"/>
      <c r="B117" s="53"/>
      <c r="C117" s="149"/>
      <c r="D117" s="35" t="s">
        <v>79</v>
      </c>
      <c r="E117" s="36">
        <v>62878750</v>
      </c>
      <c r="F117" s="36"/>
      <c r="G117" s="33"/>
      <c r="H117" s="33"/>
      <c r="K117" s="33"/>
    </row>
    <row r="118" spans="1:11" s="34" customFormat="1" x14ac:dyDescent="0.2">
      <c r="A118" s="27"/>
      <c r="B118" s="53"/>
      <c r="C118" s="149"/>
      <c r="D118" s="35" t="s">
        <v>21</v>
      </c>
      <c r="E118" s="36"/>
      <c r="F118" s="36">
        <f>+E116+E117</f>
        <v>1320453750</v>
      </c>
      <c r="G118" s="33"/>
      <c r="H118" s="33"/>
      <c r="K118" s="33"/>
    </row>
    <row r="119" spans="1:11" s="34" customFormat="1" x14ac:dyDescent="0.2">
      <c r="A119" s="44"/>
      <c r="B119" s="45"/>
      <c r="C119" s="54"/>
      <c r="E119" s="33"/>
      <c r="F119" s="33"/>
      <c r="G119" s="33"/>
      <c r="H119" s="33"/>
      <c r="K119" s="33"/>
    </row>
    <row r="120" spans="1:11" s="34" customFormat="1" ht="18" customHeight="1" x14ac:dyDescent="0.2">
      <c r="A120" s="27">
        <v>22</v>
      </c>
      <c r="B120" s="150" t="s">
        <v>151</v>
      </c>
      <c r="C120" s="149" t="s">
        <v>11</v>
      </c>
      <c r="D120" s="35" t="s">
        <v>78</v>
      </c>
      <c r="E120" s="36">
        <f>+F122-E121</f>
        <v>448000000</v>
      </c>
      <c r="F120" s="36"/>
      <c r="G120" s="33"/>
      <c r="H120" s="33"/>
      <c r="K120" s="33"/>
    </row>
    <row r="121" spans="1:11" s="34" customFormat="1" x14ac:dyDescent="0.2">
      <c r="A121" s="27"/>
      <c r="B121" s="150"/>
      <c r="C121" s="149"/>
      <c r="D121" s="35" t="s">
        <v>77</v>
      </c>
      <c r="E121" s="36">
        <f>20%*F122</f>
        <v>112000000</v>
      </c>
      <c r="F121" s="36"/>
      <c r="G121" s="33"/>
      <c r="H121" s="33"/>
      <c r="K121" s="33"/>
    </row>
    <row r="122" spans="1:11" s="34" customFormat="1" x14ac:dyDescent="0.2">
      <c r="A122" s="27"/>
      <c r="B122" s="150"/>
      <c r="C122" s="149"/>
      <c r="D122" s="35" t="s">
        <v>21</v>
      </c>
      <c r="E122" s="36"/>
      <c r="F122" s="36">
        <v>560000000</v>
      </c>
      <c r="G122" s="33"/>
      <c r="H122" s="33"/>
      <c r="K122" s="33"/>
    </row>
    <row r="123" spans="1:11" x14ac:dyDescent="0.2">
      <c r="C123" s="22"/>
    </row>
    <row r="124" spans="1:11" s="34" customFormat="1" ht="17" customHeight="1" x14ac:dyDescent="0.2">
      <c r="A124" s="27">
        <v>24</v>
      </c>
      <c r="B124" s="150" t="str">
        <f>TRANSAKSI!B25</f>
        <v>2 Agustus</v>
      </c>
      <c r="C124" s="149" t="s">
        <v>85</v>
      </c>
      <c r="D124" s="35" t="s">
        <v>84</v>
      </c>
      <c r="E124" s="36">
        <v>520750000</v>
      </c>
      <c r="F124" s="36"/>
      <c r="G124" s="33"/>
      <c r="H124" s="33"/>
      <c r="K124" s="33"/>
    </row>
    <row r="125" spans="1:11" s="34" customFormat="1" x14ac:dyDescent="0.2">
      <c r="A125" s="27"/>
      <c r="B125" s="150"/>
      <c r="C125" s="149"/>
      <c r="D125" s="35" t="s">
        <v>82</v>
      </c>
      <c r="E125" s="36"/>
      <c r="F125" s="36">
        <v>78112500</v>
      </c>
      <c r="G125" s="33"/>
      <c r="H125" s="33"/>
      <c r="K125" s="33"/>
    </row>
    <row r="126" spans="1:11" s="34" customFormat="1" x14ac:dyDescent="0.2">
      <c r="A126" s="27"/>
      <c r="B126" s="150"/>
      <c r="C126" s="149"/>
      <c r="D126" s="35" t="s">
        <v>21</v>
      </c>
      <c r="E126" s="36"/>
      <c r="F126" s="36">
        <v>442637500</v>
      </c>
      <c r="G126" s="33"/>
      <c r="H126" s="33"/>
      <c r="K126" s="33"/>
    </row>
    <row r="127" spans="1:11" x14ac:dyDescent="0.2">
      <c r="C127" s="22"/>
    </row>
    <row r="128" spans="1:11" s="34" customFormat="1" ht="34" customHeight="1" x14ac:dyDescent="0.2">
      <c r="A128" s="27">
        <v>26</v>
      </c>
      <c r="B128" s="53" t="s">
        <v>92</v>
      </c>
      <c r="C128" s="149" t="s">
        <v>95</v>
      </c>
      <c r="D128" s="35" t="s">
        <v>21</v>
      </c>
      <c r="E128" s="36">
        <v>718500000</v>
      </c>
      <c r="F128" s="36"/>
      <c r="G128" s="33"/>
      <c r="H128" s="33"/>
      <c r="K128" s="33"/>
    </row>
    <row r="129" spans="1:11" s="34" customFormat="1" x14ac:dyDescent="0.2">
      <c r="A129" s="27"/>
      <c r="B129" s="53"/>
      <c r="C129" s="149"/>
      <c r="D129" s="35" t="s">
        <v>40</v>
      </c>
      <c r="E129" s="36">
        <v>31500000</v>
      </c>
      <c r="F129" s="36"/>
      <c r="G129" s="33"/>
      <c r="H129" s="33"/>
      <c r="K129" s="33"/>
    </row>
    <row r="130" spans="1:11" s="34" customFormat="1" x14ac:dyDescent="0.2">
      <c r="A130" s="27"/>
      <c r="B130" s="53"/>
      <c r="C130" s="149"/>
      <c r="D130" s="35" t="s">
        <v>93</v>
      </c>
      <c r="E130" s="36"/>
      <c r="F130" s="36">
        <v>540000000</v>
      </c>
      <c r="G130" s="33"/>
      <c r="H130" s="33"/>
      <c r="K130" s="33"/>
    </row>
    <row r="131" spans="1:11" s="34" customFormat="1" x14ac:dyDescent="0.2">
      <c r="A131" s="27"/>
      <c r="B131" s="53"/>
      <c r="C131" s="149"/>
      <c r="D131" s="35" t="s">
        <v>94</v>
      </c>
      <c r="E131" s="36"/>
      <c r="F131" s="36">
        <v>210000000</v>
      </c>
      <c r="G131" s="33"/>
      <c r="H131" s="33"/>
      <c r="K131" s="33"/>
    </row>
    <row r="132" spans="1:11" s="34" customFormat="1" x14ac:dyDescent="0.2">
      <c r="A132" s="27"/>
      <c r="B132" s="53" t="s">
        <v>89</v>
      </c>
      <c r="C132" s="55"/>
      <c r="D132" s="35" t="s">
        <v>96</v>
      </c>
      <c r="E132" s="36">
        <v>90000000</v>
      </c>
      <c r="F132" s="36"/>
      <c r="G132" s="33"/>
      <c r="H132" s="33"/>
      <c r="K132" s="33"/>
    </row>
    <row r="133" spans="1:11" s="34" customFormat="1" x14ac:dyDescent="0.2">
      <c r="A133" s="27"/>
      <c r="B133" s="53"/>
      <c r="C133" s="55"/>
      <c r="D133" s="35" t="s">
        <v>21</v>
      </c>
      <c r="E133" s="36"/>
      <c r="F133" s="36">
        <v>90000000</v>
      </c>
      <c r="G133" s="33"/>
      <c r="H133" s="33"/>
      <c r="K133" s="33"/>
    </row>
    <row r="134" spans="1:11" x14ac:dyDescent="0.2">
      <c r="C134" s="22"/>
    </row>
    <row r="135" spans="1:11" s="34" customFormat="1" ht="19" customHeight="1" x14ac:dyDescent="0.2">
      <c r="A135" s="27">
        <v>23</v>
      </c>
      <c r="B135" s="150" t="str">
        <f>TRANSAKSI!B28</f>
        <v>1 Desember</v>
      </c>
      <c r="C135" s="149" t="s">
        <v>83</v>
      </c>
      <c r="D135" s="35" t="s">
        <v>81</v>
      </c>
      <c r="E135" s="36">
        <v>2298000000</v>
      </c>
      <c r="F135" s="36"/>
      <c r="G135" s="33"/>
      <c r="H135" s="33"/>
      <c r="K135" s="33"/>
    </row>
    <row r="136" spans="1:11" s="34" customFormat="1" x14ac:dyDescent="0.2">
      <c r="A136" s="27"/>
      <c r="B136" s="150"/>
      <c r="C136" s="149"/>
      <c r="D136" s="35" t="s">
        <v>21</v>
      </c>
      <c r="E136" s="36"/>
      <c r="F136" s="36">
        <f>+E135-F137</f>
        <v>2194590000</v>
      </c>
      <c r="G136" s="33"/>
      <c r="H136" s="33"/>
      <c r="K136" s="33"/>
    </row>
    <row r="137" spans="1:11" s="34" customFormat="1" x14ac:dyDescent="0.2">
      <c r="A137" s="27"/>
      <c r="B137" s="150"/>
      <c r="C137" s="149"/>
      <c r="D137" s="35" t="s">
        <v>82</v>
      </c>
      <c r="E137" s="36"/>
      <c r="F137" s="36">
        <v>103410000</v>
      </c>
      <c r="G137" s="33"/>
      <c r="H137" s="33"/>
      <c r="K137" s="33"/>
    </row>
  </sheetData>
  <mergeCells count="52">
    <mergeCell ref="C120:C122"/>
    <mergeCell ref="B120:B122"/>
    <mergeCell ref="C128:C131"/>
    <mergeCell ref="C135:C137"/>
    <mergeCell ref="C124:C126"/>
    <mergeCell ref="B124:B126"/>
    <mergeCell ref="B135:B137"/>
    <mergeCell ref="C111:C114"/>
    <mergeCell ref="B111:B114"/>
    <mergeCell ref="C116:C118"/>
    <mergeCell ref="C97:C100"/>
    <mergeCell ref="B97:B100"/>
    <mergeCell ref="C102:C104"/>
    <mergeCell ref="B102:B104"/>
    <mergeCell ref="C106:C109"/>
    <mergeCell ref="B106:B109"/>
    <mergeCell ref="C92:C95"/>
    <mergeCell ref="B92:B95"/>
    <mergeCell ref="C62:C67"/>
    <mergeCell ref="B62:B67"/>
    <mergeCell ref="C69:C72"/>
    <mergeCell ref="B69:B72"/>
    <mergeCell ref="C74:C77"/>
    <mergeCell ref="B74:B77"/>
    <mergeCell ref="B79:B81"/>
    <mergeCell ref="C79:C81"/>
    <mergeCell ref="C87:C90"/>
    <mergeCell ref="B87:B90"/>
    <mergeCell ref="B82:B85"/>
    <mergeCell ref="C51:C56"/>
    <mergeCell ref="C58:C60"/>
    <mergeCell ref="B51:B56"/>
    <mergeCell ref="B58:B60"/>
    <mergeCell ref="A87:A90"/>
    <mergeCell ref="C37:C40"/>
    <mergeCell ref="B37:B40"/>
    <mergeCell ref="C42:C44"/>
    <mergeCell ref="B42:B44"/>
    <mergeCell ref="C46:C49"/>
    <mergeCell ref="B46:B49"/>
    <mergeCell ref="C19:C21"/>
    <mergeCell ref="B19:B21"/>
    <mergeCell ref="C23:C30"/>
    <mergeCell ref="B23:B30"/>
    <mergeCell ref="C32:C35"/>
    <mergeCell ref="B32:B35"/>
    <mergeCell ref="C10:C13"/>
    <mergeCell ref="C3:C8"/>
    <mergeCell ref="B3:B8"/>
    <mergeCell ref="B10:B13"/>
    <mergeCell ref="B15:B17"/>
    <mergeCell ref="C15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33747-5FB5-E342-9928-D756A09615D6}">
  <dimension ref="A1:T147"/>
  <sheetViews>
    <sheetView topLeftCell="L20" zoomScale="111" workbookViewId="0">
      <selection activeCell="S72" sqref="S72"/>
    </sheetView>
  </sheetViews>
  <sheetFormatPr baseColWidth="10" defaultRowHeight="16" x14ac:dyDescent="0.2"/>
  <cols>
    <col min="1" max="1" width="8.1640625" customWidth="1"/>
    <col min="2" max="2" width="15.5" style="3" customWidth="1"/>
    <col min="3" max="3" width="16" customWidth="1"/>
    <col min="4" max="4" width="4.33203125" customWidth="1"/>
    <col min="5" max="5" width="8.5" style="9" customWidth="1"/>
    <col min="6" max="6" width="16.83203125" style="3" customWidth="1"/>
    <col min="7" max="7" width="16" style="3" customWidth="1"/>
    <col min="8" max="8" width="3.83203125" customWidth="1"/>
    <col min="9" max="9" width="7.33203125" customWidth="1"/>
    <col min="10" max="10" width="16.5" style="3" customWidth="1"/>
    <col min="11" max="11" width="16.6640625" style="3" customWidth="1"/>
    <col min="12" max="12" width="4.1640625" customWidth="1"/>
    <col min="13" max="13" width="7.6640625" customWidth="1"/>
    <col min="14" max="14" width="16.5" style="3" customWidth="1"/>
    <col min="15" max="15" width="15.83203125" customWidth="1"/>
    <col min="16" max="16" width="4.5" customWidth="1"/>
    <col min="17" max="17" width="8.1640625" customWidth="1"/>
    <col min="18" max="18" width="17.6640625" style="3" customWidth="1"/>
    <col min="19" max="19" width="13.5" style="3" customWidth="1"/>
  </cols>
  <sheetData>
    <row r="1" spans="1:19" x14ac:dyDescent="0.2">
      <c r="A1" t="s">
        <v>167</v>
      </c>
    </row>
    <row r="3" spans="1:19" x14ac:dyDescent="0.2">
      <c r="A3" s="155" t="s">
        <v>123</v>
      </c>
      <c r="B3" s="155"/>
      <c r="C3" s="155"/>
      <c r="E3" s="155" t="s">
        <v>121</v>
      </c>
      <c r="F3" s="155"/>
      <c r="G3" s="155"/>
      <c r="I3" s="156" t="s">
        <v>117</v>
      </c>
      <c r="J3" s="156"/>
      <c r="K3" s="156"/>
      <c r="M3" s="163" t="s">
        <v>18</v>
      </c>
      <c r="N3" s="164"/>
      <c r="O3" s="165"/>
      <c r="Q3" s="156" t="s">
        <v>118</v>
      </c>
      <c r="R3" s="156"/>
      <c r="S3" s="156"/>
    </row>
    <row r="4" spans="1:19" x14ac:dyDescent="0.2">
      <c r="A4" s="155" t="s">
        <v>28</v>
      </c>
      <c r="B4" s="155"/>
      <c r="C4" s="56" t="s">
        <v>29</v>
      </c>
      <c r="E4" s="155" t="s">
        <v>28</v>
      </c>
      <c r="F4" s="155"/>
      <c r="G4" s="60" t="s">
        <v>29</v>
      </c>
      <c r="I4" s="156" t="s">
        <v>28</v>
      </c>
      <c r="J4" s="156"/>
      <c r="K4" s="102" t="s">
        <v>29</v>
      </c>
      <c r="M4" s="163" t="s">
        <v>28</v>
      </c>
      <c r="N4" s="165"/>
      <c r="O4" s="68" t="s">
        <v>29</v>
      </c>
      <c r="Q4" s="156" t="s">
        <v>28</v>
      </c>
      <c r="R4" s="156"/>
      <c r="S4" s="102" t="s">
        <v>29</v>
      </c>
    </row>
    <row r="5" spans="1:19" x14ac:dyDescent="0.2">
      <c r="A5" s="82" t="s">
        <v>163</v>
      </c>
      <c r="B5" s="83">
        <v>4789975000</v>
      </c>
      <c r="C5" s="83"/>
      <c r="E5" s="104" t="s">
        <v>163</v>
      </c>
      <c r="F5" s="87"/>
      <c r="G5" s="87">
        <v>23789000</v>
      </c>
      <c r="I5" s="103">
        <v>43835</v>
      </c>
      <c r="J5" s="87"/>
      <c r="K5" s="87">
        <v>715514363.63636363</v>
      </c>
      <c r="M5" s="99">
        <f>Q5</f>
        <v>43835</v>
      </c>
      <c r="N5" s="87">
        <v>363908500</v>
      </c>
      <c r="O5" s="95">
        <f>'JURNAL '!K5</f>
        <v>0</v>
      </c>
      <c r="Q5" s="99">
        <f>I5</f>
        <v>43835</v>
      </c>
      <c r="R5" s="87"/>
      <c r="S5" s="87">
        <v>71551436.363636374</v>
      </c>
    </row>
    <row r="6" spans="1:19" x14ac:dyDescent="0.2">
      <c r="A6" s="84">
        <v>43842</v>
      </c>
      <c r="B6" s="85">
        <v>175000000</v>
      </c>
      <c r="C6" s="85"/>
      <c r="E6" s="105">
        <v>43869</v>
      </c>
      <c r="F6" s="85"/>
      <c r="G6" s="93">
        <v>174229000</v>
      </c>
      <c r="I6" s="103">
        <v>43888</v>
      </c>
      <c r="J6" s="87"/>
      <c r="K6" s="87">
        <v>1184840909.090909</v>
      </c>
      <c r="M6" s="99">
        <v>43888</v>
      </c>
      <c r="N6" s="87">
        <v>710000000</v>
      </c>
      <c r="O6" s="94"/>
      <c r="Q6" s="99">
        <v>43842</v>
      </c>
      <c r="R6" s="87"/>
      <c r="S6" s="87">
        <v>17500000</v>
      </c>
    </row>
    <row r="7" spans="1:19" x14ac:dyDescent="0.2">
      <c r="A7" s="84">
        <v>43888</v>
      </c>
      <c r="B7" s="85">
        <v>1167068295.4545455</v>
      </c>
      <c r="C7" s="85"/>
      <c r="E7" s="105">
        <v>43876</v>
      </c>
      <c r="F7" s="85"/>
      <c r="G7" s="93">
        <v>165000000</v>
      </c>
      <c r="I7" s="103">
        <v>43925</v>
      </c>
      <c r="J7" s="87"/>
      <c r="K7" s="87">
        <v>1491340909.090909</v>
      </c>
      <c r="M7" s="99">
        <v>43925</v>
      </c>
      <c r="N7" s="87">
        <v>836687500</v>
      </c>
      <c r="O7" s="94"/>
      <c r="Q7" s="99">
        <v>43888</v>
      </c>
      <c r="R7" s="87"/>
      <c r="S7" s="87">
        <v>118484090.90909091</v>
      </c>
    </row>
    <row r="8" spans="1:19" x14ac:dyDescent="0.2">
      <c r="A8" s="84">
        <v>43893</v>
      </c>
      <c r="B8" s="85"/>
      <c r="C8" s="85">
        <v>184625000</v>
      </c>
      <c r="E8" s="106" t="s">
        <v>112</v>
      </c>
      <c r="F8" s="85"/>
      <c r="G8" s="107">
        <v>4035673077</v>
      </c>
      <c r="I8" s="103">
        <v>43936</v>
      </c>
      <c r="J8" s="87"/>
      <c r="K8" s="87">
        <v>852272727.27272725</v>
      </c>
      <c r="M8" s="99">
        <v>43936</v>
      </c>
      <c r="N8" s="87">
        <v>375000000</v>
      </c>
      <c r="O8" s="94"/>
      <c r="Q8" s="99">
        <v>43925</v>
      </c>
      <c r="R8" s="87"/>
      <c r="S8" s="87">
        <v>149134090.909091</v>
      </c>
    </row>
    <row r="9" spans="1:19" x14ac:dyDescent="0.2">
      <c r="A9" s="84">
        <v>43904</v>
      </c>
      <c r="B9" s="85">
        <v>30929500</v>
      </c>
      <c r="C9" s="85"/>
      <c r="E9" s="60" t="s">
        <v>163</v>
      </c>
      <c r="F9" s="70"/>
      <c r="G9" s="71">
        <f>SUM(G5:G8)</f>
        <v>4398691077</v>
      </c>
      <c r="I9" s="108" t="s">
        <v>163</v>
      </c>
      <c r="J9" s="109"/>
      <c r="K9" s="110">
        <f>SUM(K4:K8)</f>
        <v>4243968909.090909</v>
      </c>
      <c r="M9" s="65" t="s">
        <v>163</v>
      </c>
      <c r="N9" s="64">
        <f>SUM(N5:N8)</f>
        <v>2285596000</v>
      </c>
      <c r="O9" s="65"/>
      <c r="Q9" s="99">
        <v>43936</v>
      </c>
      <c r="R9" s="87"/>
      <c r="S9" s="87">
        <v>85227272.727272734</v>
      </c>
    </row>
    <row r="10" spans="1:19" x14ac:dyDescent="0.2">
      <c r="A10" s="84">
        <v>43911</v>
      </c>
      <c r="B10" s="85">
        <v>126040000</v>
      </c>
      <c r="C10" s="85"/>
      <c r="E10" s="72"/>
      <c r="F10" s="73"/>
      <c r="G10" s="74"/>
      <c r="I10" s="111"/>
      <c r="J10" s="112"/>
      <c r="K10" s="113"/>
      <c r="Q10" s="99">
        <v>43949</v>
      </c>
      <c r="R10" s="87"/>
      <c r="S10" s="87">
        <v>17500000</v>
      </c>
    </row>
    <row r="11" spans="1:19" x14ac:dyDescent="0.2">
      <c r="A11" s="84">
        <v>43920</v>
      </c>
      <c r="B11" s="85">
        <v>48400000</v>
      </c>
      <c r="C11" s="85"/>
      <c r="Q11" s="62"/>
      <c r="R11" s="58"/>
      <c r="S11" s="62"/>
    </row>
    <row r="12" spans="1:19" x14ac:dyDescent="0.2">
      <c r="A12" s="86">
        <v>43925</v>
      </c>
      <c r="B12" s="87">
        <v>1640475000</v>
      </c>
      <c r="C12" s="87"/>
      <c r="E12" s="155" t="s">
        <v>159</v>
      </c>
      <c r="F12" s="155"/>
      <c r="G12" s="155"/>
      <c r="I12" s="155" t="s">
        <v>125</v>
      </c>
      <c r="J12" s="155"/>
      <c r="K12" s="155"/>
      <c r="M12" s="155" t="s">
        <v>148</v>
      </c>
      <c r="N12" s="155"/>
      <c r="O12" s="155"/>
    </row>
    <row r="13" spans="1:19" x14ac:dyDescent="0.2">
      <c r="A13" s="86">
        <v>43933</v>
      </c>
      <c r="B13" s="87"/>
      <c r="C13" s="87">
        <v>208301250</v>
      </c>
      <c r="E13" s="162" t="s">
        <v>28</v>
      </c>
      <c r="F13" s="162"/>
      <c r="G13" s="117" t="s">
        <v>128</v>
      </c>
      <c r="I13" s="155" t="s">
        <v>28</v>
      </c>
      <c r="J13" s="155"/>
      <c r="K13" s="66" t="s">
        <v>29</v>
      </c>
      <c r="M13" s="155" t="s">
        <v>28</v>
      </c>
      <c r="N13" s="155"/>
      <c r="O13" s="75" t="s">
        <v>29</v>
      </c>
    </row>
    <row r="14" spans="1:19" x14ac:dyDescent="0.2">
      <c r="A14" s="88">
        <v>43936</v>
      </c>
      <c r="B14" s="89">
        <v>937500000</v>
      </c>
      <c r="C14" s="87"/>
      <c r="E14" s="101" t="s">
        <v>157</v>
      </c>
      <c r="F14" s="93"/>
      <c r="G14" s="93">
        <v>540000000</v>
      </c>
      <c r="I14" s="101">
        <v>43842</v>
      </c>
      <c r="J14" s="85"/>
      <c r="K14" s="85">
        <v>175000000</v>
      </c>
      <c r="M14" s="101" t="s">
        <v>149</v>
      </c>
      <c r="N14" s="87">
        <v>1257575000</v>
      </c>
      <c r="O14" s="93"/>
      <c r="Q14" s="156" t="s">
        <v>120</v>
      </c>
      <c r="R14" s="156"/>
      <c r="S14" s="156"/>
    </row>
    <row r="15" spans="1:19" x14ac:dyDescent="0.2">
      <c r="A15" s="90">
        <v>43949</v>
      </c>
      <c r="B15" s="87">
        <v>175000000</v>
      </c>
      <c r="C15" s="87"/>
      <c r="E15" s="69"/>
      <c r="F15" s="59"/>
      <c r="G15" s="59"/>
      <c r="I15" s="114" t="s">
        <v>163</v>
      </c>
      <c r="J15" s="70"/>
      <c r="K15" s="70">
        <f>SUM(K14)</f>
        <v>175000000</v>
      </c>
      <c r="M15" s="101" t="s">
        <v>150</v>
      </c>
      <c r="N15" s="85">
        <v>448000000</v>
      </c>
      <c r="O15" s="93"/>
      <c r="Q15" s="156" t="s">
        <v>28</v>
      </c>
      <c r="R15" s="156"/>
      <c r="S15" s="102" t="s">
        <v>29</v>
      </c>
    </row>
    <row r="16" spans="1:19" x14ac:dyDescent="0.2">
      <c r="A16" s="91" t="s">
        <v>106</v>
      </c>
      <c r="B16" s="87"/>
      <c r="C16" s="87">
        <v>81000000</v>
      </c>
      <c r="I16" s="76"/>
      <c r="J16" s="77"/>
      <c r="K16" s="77"/>
      <c r="M16" s="69"/>
      <c r="N16" s="70">
        <f>SUM(N14:N15)</f>
        <v>1705575000</v>
      </c>
      <c r="O16" s="69"/>
      <c r="Q16" s="99">
        <v>43869</v>
      </c>
      <c r="R16" s="87">
        <v>15839000</v>
      </c>
      <c r="S16" s="87">
        <f>'JURNAL '!F15</f>
        <v>0</v>
      </c>
    </row>
    <row r="17" spans="1:19" x14ac:dyDescent="0.2">
      <c r="A17" s="91" t="s">
        <v>110</v>
      </c>
      <c r="B17" s="87">
        <v>52200000</v>
      </c>
      <c r="C17" s="87"/>
      <c r="I17" s="76"/>
      <c r="J17" s="77"/>
      <c r="K17" s="77"/>
      <c r="N17" s="37"/>
      <c r="O17" s="37"/>
      <c r="Q17" s="99">
        <v>43876</v>
      </c>
      <c r="R17" s="87">
        <v>15000000</v>
      </c>
      <c r="S17" s="87"/>
    </row>
    <row r="18" spans="1:19" x14ac:dyDescent="0.2">
      <c r="A18" s="91" t="s">
        <v>107</v>
      </c>
      <c r="B18" s="87"/>
      <c r="C18" s="87">
        <v>1095401953.125</v>
      </c>
      <c r="E18" s="155" t="s">
        <v>138</v>
      </c>
      <c r="F18" s="155"/>
      <c r="G18" s="155"/>
      <c r="I18" s="155" t="s">
        <v>132</v>
      </c>
      <c r="J18" s="155"/>
      <c r="K18" s="155"/>
      <c r="Q18" s="99">
        <v>43888</v>
      </c>
      <c r="R18" s="87">
        <v>118484090.90909091</v>
      </c>
      <c r="S18" s="87"/>
    </row>
    <row r="19" spans="1:19" x14ac:dyDescent="0.2">
      <c r="A19" s="92" t="s">
        <v>111</v>
      </c>
      <c r="B19" s="87"/>
      <c r="C19" s="87">
        <v>113403000</v>
      </c>
      <c r="E19" s="155" t="s">
        <v>28</v>
      </c>
      <c r="F19" s="155"/>
      <c r="G19" s="71" t="s">
        <v>128</v>
      </c>
      <c r="I19" s="155" t="s">
        <v>28</v>
      </c>
      <c r="J19" s="155"/>
      <c r="K19" s="66" t="s">
        <v>29</v>
      </c>
      <c r="M19" s="155" t="s">
        <v>156</v>
      </c>
      <c r="N19" s="155"/>
      <c r="O19" s="155"/>
      <c r="Q19" s="99">
        <v>43893</v>
      </c>
      <c r="R19" s="87">
        <v>17500000</v>
      </c>
      <c r="S19" s="87"/>
    </row>
    <row r="20" spans="1:19" x14ac:dyDescent="0.2">
      <c r="A20" s="92" t="s">
        <v>113</v>
      </c>
      <c r="B20" s="87">
        <v>55000000</v>
      </c>
      <c r="C20" s="87"/>
      <c r="E20" s="101" t="s">
        <v>139</v>
      </c>
      <c r="F20" s="93">
        <v>5800000</v>
      </c>
      <c r="G20" s="93"/>
      <c r="I20" s="101">
        <v>43911</v>
      </c>
      <c r="J20" s="85"/>
      <c r="K20" s="85">
        <v>12250000</v>
      </c>
      <c r="M20" s="155" t="s">
        <v>28</v>
      </c>
      <c r="N20" s="155"/>
      <c r="O20" s="75" t="s">
        <v>29</v>
      </c>
      <c r="Q20" s="99">
        <v>43933</v>
      </c>
      <c r="R20" s="87">
        <v>18936477</v>
      </c>
      <c r="S20" s="87"/>
    </row>
    <row r="21" spans="1:19" x14ac:dyDescent="0.2">
      <c r="A21" s="92" t="s">
        <v>147</v>
      </c>
      <c r="B21" s="87"/>
      <c r="C21" s="87">
        <v>670000000</v>
      </c>
      <c r="E21" s="67"/>
      <c r="F21" s="59"/>
      <c r="G21" s="59"/>
      <c r="I21" s="67"/>
      <c r="J21" s="57"/>
      <c r="K21" s="57"/>
      <c r="M21" s="101" t="s">
        <v>155</v>
      </c>
      <c r="N21" s="87">
        <v>520750000</v>
      </c>
      <c r="O21" s="93"/>
      <c r="Q21" s="94" t="s">
        <v>106</v>
      </c>
      <c r="R21" s="87">
        <v>8100000</v>
      </c>
      <c r="S21" s="87"/>
    </row>
    <row r="22" spans="1:19" x14ac:dyDescent="0.2">
      <c r="A22" s="92" t="s">
        <v>115</v>
      </c>
      <c r="B22" s="87"/>
      <c r="C22" s="87">
        <v>350000000</v>
      </c>
      <c r="M22" s="101" t="s">
        <v>157</v>
      </c>
      <c r="N22" s="85">
        <v>90000000</v>
      </c>
      <c r="O22" s="93"/>
      <c r="Q22" s="94" t="s">
        <v>107</v>
      </c>
      <c r="R22" s="87">
        <v>97369062.5</v>
      </c>
      <c r="S22" s="87"/>
    </row>
    <row r="23" spans="1:19" x14ac:dyDescent="0.2">
      <c r="A23" s="92" t="s">
        <v>149</v>
      </c>
      <c r="B23" s="87"/>
      <c r="C23" s="87">
        <v>1320453750</v>
      </c>
      <c r="M23" s="69"/>
      <c r="N23" s="70">
        <f>SUM(N21:N22)</f>
        <v>610750000</v>
      </c>
      <c r="O23" s="69"/>
      <c r="Q23" s="94" t="s">
        <v>111</v>
      </c>
      <c r="R23" s="87">
        <v>10300000</v>
      </c>
      <c r="S23" s="87"/>
    </row>
    <row r="24" spans="1:19" x14ac:dyDescent="0.2">
      <c r="A24" s="92" t="s">
        <v>150</v>
      </c>
      <c r="B24" s="87"/>
      <c r="C24" s="87">
        <v>560000000</v>
      </c>
      <c r="E24" s="155" t="s">
        <v>140</v>
      </c>
      <c r="F24" s="155"/>
      <c r="G24" s="155"/>
      <c r="I24" s="155" t="s">
        <v>135</v>
      </c>
      <c r="J24" s="155"/>
      <c r="K24" s="155"/>
      <c r="Q24" s="94" t="s">
        <v>112</v>
      </c>
      <c r="R24" s="87">
        <v>365384615</v>
      </c>
      <c r="S24" s="87"/>
    </row>
    <row r="25" spans="1:19" x14ac:dyDescent="0.2">
      <c r="A25" s="92" t="s">
        <v>155</v>
      </c>
      <c r="B25" s="87"/>
      <c r="C25" s="93">
        <v>442637500</v>
      </c>
      <c r="E25" s="155" t="s">
        <v>28</v>
      </c>
      <c r="F25" s="155"/>
      <c r="G25" s="71" t="s">
        <v>128</v>
      </c>
      <c r="I25" s="155" t="s">
        <v>28</v>
      </c>
      <c r="J25" s="155"/>
      <c r="K25" s="66" t="s">
        <v>29</v>
      </c>
      <c r="M25" s="155" t="s">
        <v>160</v>
      </c>
      <c r="N25" s="155"/>
      <c r="O25" s="155"/>
      <c r="Q25" s="62"/>
      <c r="R25" s="58"/>
      <c r="S25" s="58"/>
    </row>
    <row r="26" spans="1:19" x14ac:dyDescent="0.2">
      <c r="A26" s="92" t="s">
        <v>157</v>
      </c>
      <c r="B26" s="87">
        <v>718500000</v>
      </c>
      <c r="C26" s="87"/>
      <c r="E26" s="101" t="s">
        <v>139</v>
      </c>
      <c r="F26" s="93"/>
      <c r="G26" s="93">
        <v>58000000</v>
      </c>
      <c r="I26" s="101">
        <v>43842</v>
      </c>
      <c r="J26" s="85"/>
      <c r="K26" s="85">
        <v>175000000</v>
      </c>
      <c r="M26" s="155" t="s">
        <v>28</v>
      </c>
      <c r="N26" s="155"/>
      <c r="O26" s="75" t="s">
        <v>29</v>
      </c>
    </row>
    <row r="27" spans="1:19" x14ac:dyDescent="0.2">
      <c r="A27" s="92" t="s">
        <v>157</v>
      </c>
      <c r="B27" s="87"/>
      <c r="C27" s="87">
        <v>90000000</v>
      </c>
      <c r="E27" s="67"/>
      <c r="F27" s="59"/>
      <c r="G27" s="59"/>
      <c r="I27" s="67"/>
      <c r="J27" s="57"/>
      <c r="K27" s="57"/>
      <c r="M27" s="101" t="s">
        <v>161</v>
      </c>
      <c r="N27" s="87">
        <v>2298000000</v>
      </c>
      <c r="O27" s="93"/>
    </row>
    <row r="28" spans="1:19" x14ac:dyDescent="0.2">
      <c r="A28" s="92" t="s">
        <v>161</v>
      </c>
      <c r="B28" s="87"/>
      <c r="C28" s="87">
        <v>2194590000</v>
      </c>
      <c r="M28" s="101" t="s">
        <v>157</v>
      </c>
      <c r="N28" s="85">
        <v>90000000</v>
      </c>
      <c r="O28" s="93"/>
      <c r="Q28" s="156" t="s">
        <v>124</v>
      </c>
      <c r="R28" s="156"/>
      <c r="S28" s="156"/>
    </row>
    <row r="29" spans="1:19" x14ac:dyDescent="0.2">
      <c r="A29" s="94"/>
      <c r="B29" s="87">
        <f>SUM(B5:B28)</f>
        <v>9916087795.454546</v>
      </c>
      <c r="C29" s="95">
        <f>SUM(C6:C28)</f>
        <v>7310412453.125</v>
      </c>
      <c r="M29" s="69"/>
      <c r="N29" s="57">
        <f>SUM(N27:N28)</f>
        <v>2388000000</v>
      </c>
      <c r="O29" s="69"/>
      <c r="Q29" s="156" t="s">
        <v>28</v>
      </c>
      <c r="R29" s="156"/>
      <c r="S29" s="102" t="s">
        <v>29</v>
      </c>
    </row>
    <row r="30" spans="1:19" x14ac:dyDescent="0.2">
      <c r="A30" s="63" t="s">
        <v>164</v>
      </c>
      <c r="B30" s="64">
        <f>+B29-C29</f>
        <v>2605675342.329546</v>
      </c>
      <c r="C30" s="62"/>
      <c r="E30" s="155" t="s">
        <v>173</v>
      </c>
      <c r="F30" s="155"/>
      <c r="G30" s="155"/>
      <c r="I30" s="155" t="s">
        <v>172</v>
      </c>
      <c r="J30" s="155"/>
      <c r="K30" s="155"/>
      <c r="Q30" s="99">
        <v>43842</v>
      </c>
      <c r="R30" s="87">
        <v>17500000</v>
      </c>
      <c r="S30" s="87">
        <f>'JURNAL '!F25</f>
        <v>0</v>
      </c>
    </row>
    <row r="31" spans="1:19" x14ac:dyDescent="0.2">
      <c r="E31" s="155" t="s">
        <v>28</v>
      </c>
      <c r="F31" s="155"/>
      <c r="G31" s="71" t="s">
        <v>128</v>
      </c>
      <c r="I31" s="155" t="s">
        <v>28</v>
      </c>
      <c r="J31" s="155"/>
      <c r="K31" s="66" t="s">
        <v>29</v>
      </c>
      <c r="Q31" s="99">
        <v>43904</v>
      </c>
      <c r="R31" s="87">
        <v>20500</v>
      </c>
      <c r="S31" s="87"/>
    </row>
    <row r="32" spans="1:19" x14ac:dyDescent="0.2">
      <c r="E32" s="101" t="s">
        <v>157</v>
      </c>
      <c r="F32" s="93"/>
      <c r="G32" s="93">
        <v>210000000</v>
      </c>
      <c r="I32" s="101">
        <v>43842</v>
      </c>
      <c r="J32" s="85"/>
      <c r="K32" s="85">
        <v>63250000</v>
      </c>
      <c r="M32" s="155" t="s">
        <v>129</v>
      </c>
      <c r="N32" s="155"/>
      <c r="O32" s="155"/>
      <c r="Q32" s="99">
        <v>43911</v>
      </c>
      <c r="R32" s="87">
        <v>31510000</v>
      </c>
      <c r="S32" s="87"/>
    </row>
    <row r="33" spans="1:19" x14ac:dyDescent="0.2">
      <c r="A33" s="156" t="s">
        <v>116</v>
      </c>
      <c r="B33" s="156"/>
      <c r="C33" s="156"/>
      <c r="E33" s="69"/>
      <c r="F33" s="59"/>
      <c r="G33" s="59"/>
      <c r="I33" s="67"/>
      <c r="J33" s="57"/>
      <c r="K33" s="57"/>
      <c r="M33" s="155" t="s">
        <v>28</v>
      </c>
      <c r="N33" s="155"/>
      <c r="O33" s="71" t="s">
        <v>128</v>
      </c>
      <c r="Q33" s="99">
        <v>43920</v>
      </c>
      <c r="R33" s="87">
        <v>12100000</v>
      </c>
      <c r="S33" s="87"/>
    </row>
    <row r="34" spans="1:19" x14ac:dyDescent="0.2">
      <c r="A34" s="156" t="s">
        <v>28</v>
      </c>
      <c r="B34" s="156"/>
      <c r="C34" s="68" t="s">
        <v>29</v>
      </c>
      <c r="M34" s="101">
        <v>43893</v>
      </c>
      <c r="N34" s="93">
        <v>175000000</v>
      </c>
      <c r="O34" s="93"/>
      <c r="Q34" s="99">
        <v>43949</v>
      </c>
      <c r="R34" s="87">
        <v>17500000</v>
      </c>
      <c r="S34" s="87"/>
    </row>
    <row r="35" spans="1:19" x14ac:dyDescent="0.2">
      <c r="A35" s="96" t="s">
        <v>163</v>
      </c>
      <c r="B35" s="97">
        <v>576000000</v>
      </c>
      <c r="C35" s="98"/>
      <c r="M35" s="67"/>
      <c r="N35" s="71">
        <f>SUM(N34)</f>
        <v>175000000</v>
      </c>
      <c r="O35" s="59"/>
      <c r="Q35" s="94" t="s">
        <v>106</v>
      </c>
      <c r="R35" s="87"/>
      <c r="S35" s="87">
        <v>8100000</v>
      </c>
    </row>
    <row r="36" spans="1:19" x14ac:dyDescent="0.2">
      <c r="A36" s="99">
        <v>43835</v>
      </c>
      <c r="B36" s="87">
        <v>787065800</v>
      </c>
      <c r="C36" s="94"/>
      <c r="I36" s="155" t="s">
        <v>130</v>
      </c>
      <c r="J36" s="155"/>
      <c r="K36" s="155"/>
    </row>
    <row r="37" spans="1:19" x14ac:dyDescent="0.2">
      <c r="A37" s="94"/>
      <c r="B37" s="87"/>
      <c r="C37" s="94"/>
      <c r="I37" s="155" t="s">
        <v>28</v>
      </c>
      <c r="J37" s="155"/>
      <c r="K37" s="66" t="s">
        <v>29</v>
      </c>
    </row>
    <row r="38" spans="1:19" x14ac:dyDescent="0.2">
      <c r="A38" s="65" t="s">
        <v>163</v>
      </c>
      <c r="B38" s="64">
        <f>SUM(B35:B37)</f>
        <v>1363065800</v>
      </c>
      <c r="C38" s="62"/>
      <c r="I38" s="101">
        <v>43904</v>
      </c>
      <c r="J38" s="85"/>
      <c r="K38" s="85">
        <v>18450000</v>
      </c>
      <c r="Q38" s="156" t="s">
        <v>126</v>
      </c>
      <c r="R38" s="156"/>
      <c r="S38" s="156"/>
    </row>
    <row r="39" spans="1:19" x14ac:dyDescent="0.2">
      <c r="I39" s="67"/>
      <c r="J39" s="57"/>
      <c r="K39" s="57"/>
      <c r="Q39" s="115" t="s">
        <v>28</v>
      </c>
      <c r="R39" s="115"/>
      <c r="S39" s="102" t="s">
        <v>29</v>
      </c>
    </row>
    <row r="40" spans="1:19" x14ac:dyDescent="0.2">
      <c r="Q40" s="99">
        <v>43888</v>
      </c>
      <c r="R40" s="87">
        <v>17772613.636363633</v>
      </c>
      <c r="S40" s="87"/>
    </row>
    <row r="41" spans="1:19" x14ac:dyDescent="0.2">
      <c r="A41" s="155" t="s">
        <v>119</v>
      </c>
      <c r="B41" s="155"/>
      <c r="C41" s="155"/>
      <c r="Q41" s="116"/>
      <c r="R41" s="58"/>
      <c r="S41" s="58"/>
    </row>
    <row r="42" spans="1:19" x14ac:dyDescent="0.2">
      <c r="A42" s="155" t="s">
        <v>28</v>
      </c>
      <c r="B42" s="155"/>
      <c r="C42" s="56" t="s">
        <v>29</v>
      </c>
      <c r="I42" s="155" t="s">
        <v>133</v>
      </c>
      <c r="J42" s="155"/>
      <c r="K42" s="155"/>
    </row>
    <row r="43" spans="1:19" x14ac:dyDescent="0.2">
      <c r="A43" s="82" t="s">
        <v>163</v>
      </c>
      <c r="B43" s="83">
        <v>945789000</v>
      </c>
      <c r="C43" s="100"/>
      <c r="I43" s="155" t="s">
        <v>28</v>
      </c>
      <c r="J43" s="155"/>
      <c r="K43" s="66" t="s">
        <v>29</v>
      </c>
    </row>
    <row r="44" spans="1:19" x14ac:dyDescent="0.2">
      <c r="A44" s="101">
        <v>43835</v>
      </c>
      <c r="B44" s="85"/>
      <c r="C44" s="85">
        <v>363908500</v>
      </c>
      <c r="I44" s="101">
        <v>43904</v>
      </c>
      <c r="J44" s="85"/>
      <c r="K44" s="85">
        <v>18450000</v>
      </c>
    </row>
    <row r="45" spans="1:19" x14ac:dyDescent="0.2">
      <c r="A45" s="101">
        <v>43876</v>
      </c>
      <c r="B45" s="85">
        <v>150000000</v>
      </c>
      <c r="C45" s="85"/>
      <c r="I45" s="67"/>
      <c r="J45" s="57"/>
      <c r="K45" s="57"/>
      <c r="Q45" s="156" t="s">
        <v>127</v>
      </c>
      <c r="R45" s="156"/>
      <c r="S45" s="156"/>
    </row>
    <row r="46" spans="1:19" x14ac:dyDescent="0.2">
      <c r="A46" s="101">
        <v>43888</v>
      </c>
      <c r="B46" s="85"/>
      <c r="C46" s="85">
        <v>710000000</v>
      </c>
      <c r="Q46" s="115" t="s">
        <v>28</v>
      </c>
      <c r="R46" s="115"/>
      <c r="S46" s="102" t="s">
        <v>29</v>
      </c>
    </row>
    <row r="47" spans="1:19" x14ac:dyDescent="0.2">
      <c r="A47" s="101">
        <v>43925</v>
      </c>
      <c r="B47" s="85"/>
      <c r="C47" s="85">
        <v>836687500</v>
      </c>
      <c r="Q47" s="99">
        <v>43893</v>
      </c>
      <c r="R47" s="87"/>
      <c r="S47" s="87">
        <v>7875000</v>
      </c>
    </row>
    <row r="48" spans="1:19" x14ac:dyDescent="0.2">
      <c r="A48" s="101">
        <v>43933</v>
      </c>
      <c r="B48" s="85">
        <v>189364773</v>
      </c>
      <c r="C48" s="85"/>
      <c r="Q48" s="116"/>
      <c r="R48" s="58"/>
      <c r="S48" s="58"/>
    </row>
    <row r="49" spans="1:19" x14ac:dyDescent="0.2">
      <c r="A49" s="101">
        <v>43936</v>
      </c>
      <c r="B49" s="85"/>
      <c r="C49" s="85">
        <v>375000000</v>
      </c>
      <c r="Q49" s="156" t="s">
        <v>145</v>
      </c>
      <c r="R49" s="156"/>
      <c r="S49" s="156"/>
    </row>
    <row r="50" spans="1:19" x14ac:dyDescent="0.2">
      <c r="A50" s="94" t="s">
        <v>107</v>
      </c>
      <c r="B50" s="87">
        <v>973690625</v>
      </c>
      <c r="C50" s="87"/>
      <c r="Q50" s="115" t="s">
        <v>28</v>
      </c>
      <c r="R50" s="115"/>
      <c r="S50" s="102" t="s">
        <v>29</v>
      </c>
    </row>
    <row r="51" spans="1:19" x14ac:dyDescent="0.2">
      <c r="A51" s="94" t="s">
        <v>111</v>
      </c>
      <c r="B51" s="87">
        <v>103000000</v>
      </c>
      <c r="C51" s="87"/>
      <c r="Q51" s="99" t="s">
        <v>113</v>
      </c>
      <c r="R51" s="87">
        <v>8250000</v>
      </c>
      <c r="S51" s="87"/>
    </row>
    <row r="52" spans="1:19" x14ac:dyDescent="0.2">
      <c r="A52" s="94"/>
      <c r="B52" s="87">
        <f>SUM(B43:B51)</f>
        <v>2361844398</v>
      </c>
      <c r="C52" s="87">
        <f>SUM(C44:C51)</f>
        <v>2285596000</v>
      </c>
      <c r="Q52" s="62"/>
      <c r="R52" s="58"/>
      <c r="S52" s="58"/>
    </row>
    <row r="53" spans="1:19" x14ac:dyDescent="0.2">
      <c r="A53" s="65" t="s">
        <v>163</v>
      </c>
      <c r="B53" s="64">
        <f>+B52-C52</f>
        <v>76248398</v>
      </c>
      <c r="C53" s="58"/>
      <c r="Q53" s="156" t="s">
        <v>154</v>
      </c>
      <c r="R53" s="156"/>
      <c r="S53" s="156"/>
    </row>
    <row r="54" spans="1:19" x14ac:dyDescent="0.2">
      <c r="A54" s="62"/>
      <c r="B54" s="58"/>
      <c r="C54" s="58"/>
      <c r="Q54" s="115" t="s">
        <v>28</v>
      </c>
      <c r="R54" s="115"/>
      <c r="S54" s="102" t="s">
        <v>29</v>
      </c>
    </row>
    <row r="55" spans="1:19" x14ac:dyDescent="0.2">
      <c r="Q55" s="99" t="s">
        <v>109</v>
      </c>
      <c r="R55" s="87"/>
      <c r="S55" s="87">
        <v>78112500</v>
      </c>
    </row>
    <row r="56" spans="1:19" x14ac:dyDescent="0.2">
      <c r="Q56" s="62"/>
      <c r="R56" s="58"/>
      <c r="S56" s="58"/>
    </row>
    <row r="57" spans="1:19" x14ac:dyDescent="0.2">
      <c r="A57" s="155" t="s">
        <v>136</v>
      </c>
      <c r="B57" s="155"/>
      <c r="C57" s="155"/>
      <c r="Q57" s="156" t="s">
        <v>158</v>
      </c>
      <c r="R57" s="156"/>
      <c r="S57" s="156"/>
    </row>
    <row r="58" spans="1:19" x14ac:dyDescent="0.2">
      <c r="A58" s="155" t="s">
        <v>28</v>
      </c>
      <c r="B58" s="155"/>
      <c r="C58" s="60" t="s">
        <v>29</v>
      </c>
      <c r="Q58" s="115" t="s">
        <v>28</v>
      </c>
      <c r="R58" s="115"/>
      <c r="S58" s="102" t="s">
        <v>29</v>
      </c>
    </row>
    <row r="59" spans="1:19" x14ac:dyDescent="0.2">
      <c r="A59" s="101" t="s">
        <v>163</v>
      </c>
      <c r="B59" s="85">
        <v>10000000</v>
      </c>
      <c r="C59" s="93"/>
      <c r="Q59" s="99" t="s">
        <v>157</v>
      </c>
      <c r="R59" s="87">
        <v>31500000</v>
      </c>
      <c r="S59" s="87"/>
    </row>
    <row r="60" spans="1:19" x14ac:dyDescent="0.2">
      <c r="A60" s="101" t="s">
        <v>137</v>
      </c>
      <c r="B60" s="85">
        <v>81000000</v>
      </c>
      <c r="C60" s="93"/>
      <c r="Q60" s="62"/>
      <c r="R60" s="58"/>
      <c r="S60" s="58"/>
    </row>
    <row r="61" spans="1:19" x14ac:dyDescent="0.2">
      <c r="A61" s="75" t="s">
        <v>163</v>
      </c>
      <c r="B61" s="70">
        <f>SUM(B59:B60)</f>
        <v>91000000</v>
      </c>
      <c r="C61" s="75"/>
      <c r="Q61" s="156" t="s">
        <v>162</v>
      </c>
      <c r="R61" s="156"/>
      <c r="S61" s="156"/>
    </row>
    <row r="62" spans="1:19" x14ac:dyDescent="0.2">
      <c r="Q62" s="115" t="s">
        <v>28</v>
      </c>
      <c r="R62" s="115"/>
      <c r="S62" s="102" t="s">
        <v>29</v>
      </c>
    </row>
    <row r="63" spans="1:19" x14ac:dyDescent="0.2">
      <c r="D63" s="50"/>
      <c r="Q63" s="99" t="s">
        <v>161</v>
      </c>
      <c r="R63" s="87"/>
      <c r="S63" s="87">
        <v>103410000</v>
      </c>
    </row>
    <row r="64" spans="1:19" x14ac:dyDescent="0.2">
      <c r="A64" s="155" t="s">
        <v>131</v>
      </c>
      <c r="B64" s="155"/>
      <c r="C64" s="155"/>
      <c r="M64" s="76"/>
      <c r="N64" s="77"/>
      <c r="O64" s="76"/>
      <c r="P64" s="38"/>
      <c r="Q64" s="38"/>
      <c r="R64" s="37"/>
      <c r="S64" s="37"/>
    </row>
    <row r="65" spans="1:20" x14ac:dyDescent="0.2">
      <c r="A65" s="155" t="s">
        <v>28</v>
      </c>
      <c r="B65" s="155"/>
      <c r="C65" s="71" t="s">
        <v>128</v>
      </c>
      <c r="M65" s="76"/>
      <c r="N65" s="77"/>
      <c r="O65" s="76"/>
      <c r="P65" s="38"/>
      <c r="Q65" s="156" t="s">
        <v>141</v>
      </c>
      <c r="R65" s="156"/>
      <c r="S65" s="156"/>
    </row>
    <row r="66" spans="1:20" x14ac:dyDescent="0.2">
      <c r="A66" s="101" t="s">
        <v>163</v>
      </c>
      <c r="B66" s="93">
        <v>935775400</v>
      </c>
      <c r="C66" s="93"/>
      <c r="M66" s="76"/>
      <c r="N66" s="77"/>
      <c r="O66" s="76"/>
      <c r="P66" s="38"/>
      <c r="Q66" s="115" t="s">
        <v>28</v>
      </c>
      <c r="R66" s="115"/>
      <c r="S66" s="102" t="s">
        <v>29</v>
      </c>
    </row>
    <row r="67" spans="1:20" x14ac:dyDescent="0.2">
      <c r="A67" s="101">
        <v>43904</v>
      </c>
      <c r="B67" s="93"/>
      <c r="C67" s="93">
        <v>12500000</v>
      </c>
      <c r="Q67" s="99" t="s">
        <v>107</v>
      </c>
      <c r="R67" s="87">
        <v>24342265.625</v>
      </c>
      <c r="S67" s="87"/>
    </row>
    <row r="68" spans="1:20" x14ac:dyDescent="0.2">
      <c r="A68" s="75" t="s">
        <v>163</v>
      </c>
      <c r="B68" s="71">
        <f>+B66-C67</f>
        <v>923275400</v>
      </c>
      <c r="C68" s="71"/>
    </row>
    <row r="69" spans="1:20" x14ac:dyDescent="0.2">
      <c r="A69" s="76"/>
      <c r="B69" s="80"/>
      <c r="C69" s="80"/>
      <c r="D69" s="37"/>
    </row>
    <row r="70" spans="1:20" x14ac:dyDescent="0.2">
      <c r="A70" s="76"/>
      <c r="B70" s="80"/>
      <c r="C70" s="80"/>
      <c r="D70" s="37"/>
      <c r="Q70" s="156" t="s">
        <v>142</v>
      </c>
      <c r="R70" s="156"/>
      <c r="S70" s="156"/>
    </row>
    <row r="71" spans="1:20" x14ac:dyDescent="0.2">
      <c r="A71" s="162" t="s">
        <v>134</v>
      </c>
      <c r="B71" s="162"/>
      <c r="C71" s="162"/>
      <c r="D71" s="41"/>
      <c r="Q71" s="115" t="s">
        <v>28</v>
      </c>
      <c r="R71" s="115"/>
      <c r="S71" s="102" t="s">
        <v>29</v>
      </c>
    </row>
    <row r="72" spans="1:20" x14ac:dyDescent="0.2">
      <c r="A72" s="157" t="s">
        <v>28</v>
      </c>
      <c r="B72" s="157"/>
      <c r="C72" s="81" t="s">
        <v>128</v>
      </c>
      <c r="D72" s="40"/>
      <c r="Q72" s="99" t="s">
        <v>111</v>
      </c>
      <c r="R72" s="87">
        <v>103000</v>
      </c>
      <c r="S72" s="87"/>
      <c r="T72" s="38"/>
    </row>
    <row r="73" spans="1:20" x14ac:dyDescent="0.2">
      <c r="A73" s="101" t="s">
        <v>163</v>
      </c>
      <c r="B73" s="93">
        <v>543975000</v>
      </c>
      <c r="C73" s="93"/>
      <c r="D73" s="37"/>
      <c r="M73" s="76"/>
      <c r="N73" s="80"/>
      <c r="O73" s="80"/>
      <c r="Q73" s="116"/>
      <c r="R73" s="58"/>
      <c r="S73" s="58"/>
      <c r="T73" s="38"/>
    </row>
    <row r="74" spans="1:20" x14ac:dyDescent="0.2">
      <c r="A74" s="101">
        <v>43904</v>
      </c>
      <c r="B74" s="93"/>
      <c r="C74" s="93">
        <v>72750000</v>
      </c>
      <c r="D74" s="37"/>
      <c r="M74" s="76"/>
      <c r="N74" s="80"/>
      <c r="O74" s="80"/>
      <c r="Q74" s="76"/>
      <c r="R74" s="77"/>
      <c r="S74" s="77"/>
      <c r="T74" s="38"/>
    </row>
    <row r="75" spans="1:20" x14ac:dyDescent="0.2">
      <c r="A75" s="65" t="s">
        <v>163</v>
      </c>
      <c r="B75" s="64">
        <f>+B73-C74</f>
        <v>471225000</v>
      </c>
      <c r="C75" s="65"/>
      <c r="D75" s="40"/>
      <c r="M75" s="76"/>
      <c r="N75" s="80"/>
      <c r="O75" s="80"/>
      <c r="Q75" s="76"/>
      <c r="R75" s="77"/>
      <c r="S75" s="77"/>
      <c r="T75" s="38"/>
    </row>
    <row r="76" spans="1:20" x14ac:dyDescent="0.2">
      <c r="D76" s="40"/>
      <c r="M76" s="76"/>
      <c r="N76" s="80"/>
      <c r="O76" s="80"/>
      <c r="Q76" s="156" t="s">
        <v>144</v>
      </c>
      <c r="R76" s="156"/>
      <c r="S76" s="156"/>
      <c r="T76" s="38"/>
    </row>
    <row r="77" spans="1:20" x14ac:dyDescent="0.2">
      <c r="D77" s="37"/>
      <c r="M77" s="38"/>
      <c r="N77" s="37"/>
      <c r="O77" s="38"/>
      <c r="Q77" s="115" t="s">
        <v>28</v>
      </c>
      <c r="R77" s="115"/>
      <c r="S77" s="102" t="s">
        <v>29</v>
      </c>
      <c r="T77" s="38"/>
    </row>
    <row r="78" spans="1:20" x14ac:dyDescent="0.2">
      <c r="A78" s="158" t="s">
        <v>143</v>
      </c>
      <c r="B78" s="159"/>
      <c r="C78" s="160"/>
      <c r="D78" s="40"/>
      <c r="Q78" s="99" t="s">
        <v>112</v>
      </c>
      <c r="R78" s="93">
        <v>16442308</v>
      </c>
      <c r="S78" s="87"/>
    </row>
    <row r="79" spans="1:20" x14ac:dyDescent="0.2">
      <c r="A79" s="158" t="s">
        <v>28</v>
      </c>
      <c r="B79" s="160"/>
      <c r="C79" s="78" t="s">
        <v>29</v>
      </c>
      <c r="D79" s="37"/>
      <c r="Q79" s="116"/>
      <c r="R79" s="58"/>
      <c r="S79" s="58"/>
    </row>
    <row r="80" spans="1:20" x14ac:dyDescent="0.2">
      <c r="A80" s="101" t="s">
        <v>163</v>
      </c>
      <c r="B80" s="85">
        <v>0</v>
      </c>
      <c r="C80" s="93"/>
      <c r="D80" s="40"/>
      <c r="Q80" s="38"/>
      <c r="R80" s="37"/>
      <c r="S80" s="37"/>
    </row>
    <row r="81" spans="1:19" x14ac:dyDescent="0.2">
      <c r="A81" s="101" t="s">
        <v>112</v>
      </c>
      <c r="B81" s="85">
        <v>3653846154</v>
      </c>
      <c r="C81" s="93"/>
      <c r="D81" s="52"/>
    </row>
    <row r="82" spans="1:19" x14ac:dyDescent="0.2">
      <c r="A82" s="75" t="s">
        <v>163</v>
      </c>
      <c r="B82" s="70">
        <f>B81</f>
        <v>3653846154</v>
      </c>
      <c r="C82" s="75"/>
      <c r="D82" s="51"/>
    </row>
    <row r="83" spans="1:19" x14ac:dyDescent="0.2">
      <c r="B83" s="61"/>
      <c r="C83" s="52"/>
      <c r="D83" s="37"/>
      <c r="Q83" s="156" t="s">
        <v>152</v>
      </c>
      <c r="R83" s="156"/>
      <c r="S83" s="156"/>
    </row>
    <row r="84" spans="1:19" x14ac:dyDescent="0.2">
      <c r="B84" s="61"/>
      <c r="C84" s="51"/>
      <c r="D84" s="37"/>
      <c r="Q84" s="115" t="s">
        <v>28</v>
      </c>
      <c r="R84" s="115"/>
      <c r="S84" s="102" t="s">
        <v>29</v>
      </c>
    </row>
    <row r="85" spans="1:19" x14ac:dyDescent="0.2">
      <c r="A85" s="158" t="s">
        <v>146</v>
      </c>
      <c r="B85" s="159"/>
      <c r="C85" s="160"/>
      <c r="D85" s="40"/>
      <c r="Q85" s="99" t="s">
        <v>149</v>
      </c>
      <c r="R85" s="93">
        <v>62878750</v>
      </c>
      <c r="S85" s="87"/>
    </row>
    <row r="86" spans="1:19" x14ac:dyDescent="0.2">
      <c r="A86" s="158" t="s">
        <v>28</v>
      </c>
      <c r="B86" s="160"/>
      <c r="C86" s="78" t="s">
        <v>29</v>
      </c>
      <c r="Q86" s="116"/>
      <c r="R86" s="58"/>
      <c r="S86" s="58"/>
    </row>
    <row r="87" spans="1:19" x14ac:dyDescent="0.2">
      <c r="A87" s="101" t="s">
        <v>163</v>
      </c>
      <c r="B87" s="85">
        <v>0</v>
      </c>
      <c r="C87" s="93"/>
      <c r="Q87" s="38"/>
      <c r="R87" s="37"/>
      <c r="S87" s="37"/>
    </row>
    <row r="88" spans="1:19" x14ac:dyDescent="0.2">
      <c r="A88" s="101" t="s">
        <v>114</v>
      </c>
      <c r="B88" s="85">
        <v>670000000</v>
      </c>
      <c r="C88" s="93"/>
    </row>
    <row r="89" spans="1:19" x14ac:dyDescent="0.2">
      <c r="A89" s="101" t="s">
        <v>115</v>
      </c>
      <c r="B89" s="85">
        <v>350000000</v>
      </c>
      <c r="C89" s="93"/>
      <c r="I89" s="38"/>
      <c r="J89" s="37"/>
      <c r="K89" s="37"/>
    </row>
    <row r="90" spans="1:19" x14ac:dyDescent="0.2">
      <c r="A90" s="75" t="s">
        <v>163</v>
      </c>
      <c r="B90" s="70">
        <f>SUM(B88:B89)</f>
        <v>1020000000</v>
      </c>
      <c r="C90" s="69"/>
      <c r="I90" s="38"/>
      <c r="J90" s="37"/>
      <c r="K90" s="37"/>
      <c r="Q90" s="156" t="s">
        <v>153</v>
      </c>
      <c r="R90" s="156"/>
      <c r="S90" s="156"/>
    </row>
    <row r="91" spans="1:19" x14ac:dyDescent="0.2">
      <c r="I91" s="38"/>
      <c r="J91" s="37"/>
      <c r="K91" s="37"/>
      <c r="Q91" s="115" t="s">
        <v>28</v>
      </c>
      <c r="R91" s="115"/>
      <c r="S91" s="102" t="s">
        <v>29</v>
      </c>
    </row>
    <row r="92" spans="1:19" x14ac:dyDescent="0.2">
      <c r="D92" s="37"/>
      <c r="I92" s="38"/>
      <c r="J92" s="37"/>
      <c r="K92" s="37"/>
      <c r="Q92" s="99" t="s">
        <v>149</v>
      </c>
      <c r="R92" s="93">
        <v>112000000</v>
      </c>
      <c r="S92" s="87"/>
    </row>
    <row r="93" spans="1:19" x14ac:dyDescent="0.2">
      <c r="A93" s="155" t="s">
        <v>122</v>
      </c>
      <c r="B93" s="155"/>
      <c r="C93" s="155"/>
      <c r="D93" s="37"/>
      <c r="Q93" s="116"/>
      <c r="R93" s="58"/>
      <c r="S93" s="58"/>
    </row>
    <row r="94" spans="1:19" x14ac:dyDescent="0.2">
      <c r="A94" s="156" t="s">
        <v>28</v>
      </c>
      <c r="B94" s="156"/>
      <c r="C94" s="79" t="s">
        <v>29</v>
      </c>
      <c r="D94" s="37"/>
      <c r="Q94" s="76"/>
      <c r="R94" s="77"/>
      <c r="S94" s="77"/>
    </row>
    <row r="95" spans="1:19" x14ac:dyDescent="0.2">
      <c r="A95" s="101" t="s">
        <v>163</v>
      </c>
      <c r="B95" s="85">
        <v>0</v>
      </c>
      <c r="C95" s="93"/>
      <c r="D95" s="37"/>
      <c r="Q95" s="76"/>
      <c r="R95" s="77"/>
      <c r="S95" s="77"/>
    </row>
    <row r="96" spans="1:19" x14ac:dyDescent="0.2">
      <c r="A96" s="101">
        <v>43869</v>
      </c>
      <c r="B96" s="85">
        <v>158390000</v>
      </c>
      <c r="C96" s="93"/>
    </row>
    <row r="97" spans="1:20" x14ac:dyDescent="0.2">
      <c r="A97" s="75" t="s">
        <v>163</v>
      </c>
      <c r="B97" s="70">
        <f>SUM(B95:B96)</f>
        <v>158390000</v>
      </c>
      <c r="C97" s="69"/>
    </row>
    <row r="103" spans="1:20" x14ac:dyDescent="0.2">
      <c r="T103" s="38"/>
    </row>
    <row r="104" spans="1:20" x14ac:dyDescent="0.2">
      <c r="T104" s="38"/>
    </row>
    <row r="105" spans="1:20" x14ac:dyDescent="0.2">
      <c r="T105" s="38"/>
    </row>
    <row r="106" spans="1:20" x14ac:dyDescent="0.2">
      <c r="D106" s="38"/>
      <c r="T106" s="38"/>
    </row>
    <row r="107" spans="1:20" x14ac:dyDescent="0.2">
      <c r="D107" s="38"/>
      <c r="T107" s="38"/>
    </row>
    <row r="108" spans="1:20" x14ac:dyDescent="0.2">
      <c r="A108" s="38"/>
      <c r="B108" s="37"/>
      <c r="C108" s="37"/>
      <c r="D108" s="38"/>
      <c r="T108" s="38"/>
    </row>
    <row r="109" spans="1:20" x14ac:dyDescent="0.2">
      <c r="A109" s="38"/>
      <c r="B109" s="37"/>
      <c r="C109" s="37"/>
      <c r="D109" s="37"/>
      <c r="T109" s="38"/>
    </row>
    <row r="110" spans="1:20" x14ac:dyDescent="0.2">
      <c r="A110" s="38"/>
      <c r="B110" s="37"/>
      <c r="C110" s="37"/>
      <c r="D110" s="37"/>
      <c r="T110" s="38"/>
    </row>
    <row r="111" spans="1:20" x14ac:dyDescent="0.2">
      <c r="A111" s="38"/>
      <c r="B111" s="37"/>
      <c r="C111" s="161"/>
      <c r="D111" s="161"/>
      <c r="Q111" s="38"/>
      <c r="R111" s="37"/>
      <c r="S111" s="37"/>
      <c r="T111" s="38"/>
    </row>
    <row r="112" spans="1:20" x14ac:dyDescent="0.2">
      <c r="A112" s="38"/>
      <c r="B112" s="37"/>
      <c r="C112" s="38"/>
      <c r="D112" s="38"/>
      <c r="Q112" s="38"/>
      <c r="R112" s="37"/>
      <c r="S112" s="37"/>
      <c r="T112" s="38"/>
    </row>
    <row r="113" spans="9:20" x14ac:dyDescent="0.2">
      <c r="M113" s="76"/>
      <c r="N113" s="80"/>
      <c r="O113" s="80"/>
      <c r="Q113" s="76"/>
      <c r="R113" s="77"/>
      <c r="S113" s="77"/>
      <c r="T113" s="38"/>
    </row>
    <row r="114" spans="9:20" x14ac:dyDescent="0.2">
      <c r="M114" s="76"/>
      <c r="N114" s="80"/>
      <c r="O114" s="80"/>
      <c r="Q114" s="76"/>
      <c r="R114" s="77"/>
      <c r="S114" s="77"/>
      <c r="T114" s="38"/>
    </row>
    <row r="115" spans="9:20" x14ac:dyDescent="0.2">
      <c r="M115" s="76"/>
      <c r="N115" s="80"/>
      <c r="O115" s="80"/>
      <c r="Q115" s="76"/>
      <c r="R115" s="77"/>
      <c r="S115" s="77"/>
      <c r="T115" s="38"/>
    </row>
    <row r="116" spans="9:20" x14ac:dyDescent="0.2">
      <c r="M116" s="76"/>
      <c r="N116" s="80"/>
      <c r="O116" s="80"/>
      <c r="Q116" s="76"/>
      <c r="R116" s="77"/>
      <c r="S116" s="77"/>
      <c r="T116" s="38"/>
    </row>
    <row r="117" spans="9:20" x14ac:dyDescent="0.2">
      <c r="Q117" s="38"/>
      <c r="R117" s="37"/>
      <c r="S117" s="37"/>
      <c r="T117" s="38"/>
    </row>
    <row r="118" spans="9:20" x14ac:dyDescent="0.2">
      <c r="Q118" s="38"/>
      <c r="R118" s="37"/>
      <c r="S118" s="37"/>
      <c r="T118" s="38"/>
    </row>
    <row r="124" spans="9:20" x14ac:dyDescent="0.2">
      <c r="I124" s="38"/>
      <c r="J124" s="37"/>
      <c r="K124" s="37"/>
    </row>
    <row r="125" spans="9:20" x14ac:dyDescent="0.2">
      <c r="I125" s="38"/>
      <c r="J125" s="37"/>
      <c r="K125" s="37"/>
    </row>
    <row r="126" spans="9:20" x14ac:dyDescent="0.2">
      <c r="I126" s="38"/>
      <c r="J126" s="37"/>
      <c r="K126" s="37"/>
    </row>
    <row r="127" spans="9:20" x14ac:dyDescent="0.2">
      <c r="I127" s="38"/>
      <c r="J127" s="37"/>
      <c r="K127" s="37"/>
    </row>
    <row r="147" spans="9:11" x14ac:dyDescent="0.2">
      <c r="I147" s="38"/>
      <c r="J147" s="37"/>
      <c r="K147" s="37"/>
    </row>
  </sheetData>
  <mergeCells count="70">
    <mergeCell ref="C111:D111"/>
    <mergeCell ref="A71:C71"/>
    <mergeCell ref="A78:C78"/>
    <mergeCell ref="A79:B79"/>
    <mergeCell ref="M3:O3"/>
    <mergeCell ref="M4:N4"/>
    <mergeCell ref="E12:G12"/>
    <mergeCell ref="E13:F13"/>
    <mergeCell ref="E30:G30"/>
    <mergeCell ref="E31:F31"/>
    <mergeCell ref="M25:O25"/>
    <mergeCell ref="M26:N26"/>
    <mergeCell ref="M12:O12"/>
    <mergeCell ref="M13:N13"/>
    <mergeCell ref="M19:O19"/>
    <mergeCell ref="M20:N20"/>
    <mergeCell ref="Q90:S90"/>
    <mergeCell ref="I30:K30"/>
    <mergeCell ref="I31:J31"/>
    <mergeCell ref="Q53:S53"/>
    <mergeCell ref="Q65:S65"/>
    <mergeCell ref="Q61:S61"/>
    <mergeCell ref="A86:B86"/>
    <mergeCell ref="Q49:S49"/>
    <mergeCell ref="E19:F19"/>
    <mergeCell ref="E24:G24"/>
    <mergeCell ref="E25:F25"/>
    <mergeCell ref="Q57:S57"/>
    <mergeCell ref="Q45:S45"/>
    <mergeCell ref="A41:C41"/>
    <mergeCell ref="A42:B42"/>
    <mergeCell ref="A33:C33"/>
    <mergeCell ref="A34:B34"/>
    <mergeCell ref="A57:C57"/>
    <mergeCell ref="A58:B58"/>
    <mergeCell ref="Q70:S70"/>
    <mergeCell ref="Q76:S76"/>
    <mergeCell ref="Q83:S83"/>
    <mergeCell ref="E18:G18"/>
    <mergeCell ref="A93:C93"/>
    <mergeCell ref="A94:B94"/>
    <mergeCell ref="Q38:S38"/>
    <mergeCell ref="I42:K42"/>
    <mergeCell ref="I43:J43"/>
    <mergeCell ref="A72:B72"/>
    <mergeCell ref="I36:K36"/>
    <mergeCell ref="I37:J37"/>
    <mergeCell ref="A64:C64"/>
    <mergeCell ref="A65:B65"/>
    <mergeCell ref="I18:K18"/>
    <mergeCell ref="I19:J19"/>
    <mergeCell ref="A85:C85"/>
    <mergeCell ref="M32:O32"/>
    <mergeCell ref="M33:N33"/>
    <mergeCell ref="E4:F4"/>
    <mergeCell ref="A3:C3"/>
    <mergeCell ref="A4:B4"/>
    <mergeCell ref="Q28:S28"/>
    <mergeCell ref="Q29:R29"/>
    <mergeCell ref="I12:K12"/>
    <mergeCell ref="I13:J13"/>
    <mergeCell ref="Q15:R15"/>
    <mergeCell ref="E3:G3"/>
    <mergeCell ref="I3:K3"/>
    <mergeCell ref="I4:J4"/>
    <mergeCell ref="I24:K24"/>
    <mergeCell ref="I25:J25"/>
    <mergeCell ref="Q14:S14"/>
    <mergeCell ref="Q3:S3"/>
    <mergeCell ref="Q4:R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D0B1E-8554-F247-ACBD-65D2D4B867D1}">
  <sheetPr>
    <tabColor rgb="FFFFC000"/>
  </sheetPr>
  <dimension ref="A2:G55"/>
  <sheetViews>
    <sheetView topLeftCell="A24" zoomScale="125" workbookViewId="0">
      <selection activeCell="D54" sqref="D54"/>
    </sheetView>
  </sheetViews>
  <sheetFormatPr baseColWidth="10" defaultRowHeight="16" x14ac:dyDescent="0.2"/>
  <cols>
    <col min="1" max="1" width="9" style="9" customWidth="1"/>
    <col min="2" max="2" width="44.6640625" customWidth="1"/>
    <col min="3" max="3" width="27.33203125" customWidth="1"/>
    <col min="4" max="4" width="16.33203125" style="3" customWidth="1"/>
    <col min="5" max="5" width="16.5" style="3" customWidth="1"/>
    <col min="6" max="6" width="14.83203125" style="3" customWidth="1"/>
    <col min="7" max="7" width="19.1640625" style="3" customWidth="1"/>
  </cols>
  <sheetData>
    <row r="2" spans="1:7" s="118" customFormat="1" ht="19" x14ac:dyDescent="0.25">
      <c r="A2" s="195" t="s">
        <v>240</v>
      </c>
      <c r="B2" s="148"/>
      <c r="C2" s="140"/>
      <c r="D2" s="141"/>
      <c r="E2" s="141"/>
      <c r="F2" s="192"/>
      <c r="G2" s="192"/>
    </row>
    <row r="4" spans="1:7" s="6" customFormat="1" x14ac:dyDescent="0.2">
      <c r="B4" s="6" t="s">
        <v>20</v>
      </c>
      <c r="C4" s="6" t="s">
        <v>27</v>
      </c>
      <c r="D4" s="5" t="s">
        <v>28</v>
      </c>
      <c r="E4" s="5" t="s">
        <v>29</v>
      </c>
      <c r="F4" s="5"/>
      <c r="G4" s="5"/>
    </row>
    <row r="5" spans="1:7" x14ac:dyDescent="0.2">
      <c r="A5" s="184" t="s">
        <v>241</v>
      </c>
      <c r="B5" s="185" t="s">
        <v>274</v>
      </c>
      <c r="C5" s="186" t="s">
        <v>21</v>
      </c>
      <c r="D5" s="187"/>
      <c r="E5" s="187"/>
    </row>
    <row r="6" spans="1:7" x14ac:dyDescent="0.2">
      <c r="A6" s="184"/>
      <c r="B6" s="185"/>
      <c r="C6" s="186" t="s">
        <v>16</v>
      </c>
      <c r="D6" s="187"/>
      <c r="E6" s="187"/>
    </row>
    <row r="7" spans="1:7" x14ac:dyDescent="0.2">
      <c r="A7" s="184"/>
      <c r="B7" s="185"/>
      <c r="C7" s="186" t="s">
        <v>23</v>
      </c>
      <c r="D7" s="187"/>
      <c r="E7" s="187">
        <f>10%*E6</f>
        <v>0</v>
      </c>
    </row>
    <row r="8" spans="1:7" x14ac:dyDescent="0.2">
      <c r="A8" s="193"/>
      <c r="B8" s="194"/>
      <c r="C8" s="186"/>
      <c r="D8" s="187"/>
      <c r="E8" s="187"/>
    </row>
    <row r="9" spans="1:7" x14ac:dyDescent="0.2">
      <c r="A9" s="193"/>
      <c r="B9" s="194"/>
      <c r="C9" s="186" t="s">
        <v>18</v>
      </c>
      <c r="D9" s="187">
        <f>50%*E6</f>
        <v>0</v>
      </c>
      <c r="E9" s="187"/>
    </row>
    <row r="10" spans="1:7" x14ac:dyDescent="0.2">
      <c r="A10" s="193"/>
      <c r="B10" s="194"/>
      <c r="C10" s="186" t="s">
        <v>19</v>
      </c>
      <c r="D10" s="187"/>
      <c r="E10" s="187">
        <f>D9</f>
        <v>0</v>
      </c>
    </row>
    <row r="11" spans="1:7" x14ac:dyDescent="0.2">
      <c r="A11" s="188"/>
      <c r="B11" s="189"/>
    </row>
    <row r="12" spans="1:7" x14ac:dyDescent="0.2">
      <c r="A12" s="184" t="s">
        <v>242</v>
      </c>
      <c r="B12" s="185" t="s">
        <v>243</v>
      </c>
      <c r="C12" s="186" t="s">
        <v>244</v>
      </c>
      <c r="D12" s="187"/>
      <c r="E12" s="187"/>
    </row>
    <row r="13" spans="1:7" x14ac:dyDescent="0.2">
      <c r="A13" s="184"/>
      <c r="B13" s="185"/>
      <c r="C13" s="186" t="s">
        <v>31</v>
      </c>
      <c r="D13" s="187">
        <f>10%*D12</f>
        <v>0</v>
      </c>
      <c r="E13" s="187"/>
    </row>
    <row r="14" spans="1:7" x14ac:dyDescent="0.2">
      <c r="A14" s="184"/>
      <c r="B14" s="185"/>
      <c r="C14" s="186" t="s">
        <v>35</v>
      </c>
      <c r="D14" s="187"/>
      <c r="E14" s="187">
        <f>+D12+D13</f>
        <v>0</v>
      </c>
    </row>
    <row r="15" spans="1:7" x14ac:dyDescent="0.2">
      <c r="A15" s="188"/>
      <c r="B15" s="189"/>
    </row>
    <row r="16" spans="1:7" x14ac:dyDescent="0.2">
      <c r="A16" s="184" t="s">
        <v>245</v>
      </c>
      <c r="B16" s="185" t="s">
        <v>246</v>
      </c>
      <c r="C16" s="186" t="s">
        <v>247</v>
      </c>
      <c r="D16" s="187"/>
      <c r="E16" s="187"/>
    </row>
    <row r="17" spans="1:5" x14ac:dyDescent="0.2">
      <c r="A17" s="184"/>
      <c r="B17" s="185"/>
      <c r="C17" s="186" t="s">
        <v>31</v>
      </c>
      <c r="D17" s="187">
        <f>10%*D16</f>
        <v>0</v>
      </c>
      <c r="E17" s="187"/>
    </row>
    <row r="18" spans="1:5" x14ac:dyDescent="0.2">
      <c r="A18" s="184"/>
      <c r="B18" s="185"/>
      <c r="C18" s="186" t="s">
        <v>21</v>
      </c>
      <c r="D18" s="187"/>
      <c r="E18" s="187">
        <f>+D16+D17-E19</f>
        <v>0</v>
      </c>
    </row>
    <row r="19" spans="1:5" x14ac:dyDescent="0.2">
      <c r="A19" s="184"/>
      <c r="B19" s="190"/>
      <c r="C19" s="186" t="s">
        <v>82</v>
      </c>
      <c r="D19" s="187"/>
      <c r="E19" s="187">
        <f>2%*D16</f>
        <v>0</v>
      </c>
    </row>
    <row r="20" spans="1:5" x14ac:dyDescent="0.2">
      <c r="A20" s="188"/>
      <c r="B20" s="189"/>
    </row>
    <row r="21" spans="1:5" x14ac:dyDescent="0.2">
      <c r="A21" s="184" t="s">
        <v>248</v>
      </c>
      <c r="B21" s="185" t="s">
        <v>249</v>
      </c>
      <c r="C21" s="186" t="s">
        <v>250</v>
      </c>
      <c r="D21" s="187"/>
      <c r="E21" s="187"/>
    </row>
    <row r="22" spans="1:5" x14ac:dyDescent="0.2">
      <c r="A22" s="184"/>
      <c r="B22" s="185"/>
      <c r="C22" s="186" t="s">
        <v>251</v>
      </c>
      <c r="D22" s="187">
        <f>20%*D21</f>
        <v>0</v>
      </c>
      <c r="E22" s="187"/>
    </row>
    <row r="23" spans="1:5" x14ac:dyDescent="0.2">
      <c r="A23" s="184"/>
      <c r="B23" s="185"/>
      <c r="C23" s="186" t="s">
        <v>31</v>
      </c>
      <c r="D23" s="187">
        <f>10%*D21</f>
        <v>0</v>
      </c>
      <c r="E23" s="187"/>
    </row>
    <row r="24" spans="1:5" x14ac:dyDescent="0.2">
      <c r="A24" s="184"/>
      <c r="B24" s="185"/>
      <c r="C24" s="186" t="s">
        <v>35</v>
      </c>
      <c r="D24" s="187"/>
      <c r="E24" s="187">
        <f>+D21+D22+D23</f>
        <v>0</v>
      </c>
    </row>
    <row r="25" spans="1:5" x14ac:dyDescent="0.2">
      <c r="A25" s="8"/>
      <c r="B25" s="189"/>
    </row>
    <row r="26" spans="1:5" x14ac:dyDescent="0.2">
      <c r="A26" s="184" t="s">
        <v>252</v>
      </c>
      <c r="B26" s="185" t="s">
        <v>275</v>
      </c>
      <c r="C26" s="186" t="s">
        <v>21</v>
      </c>
      <c r="D26" s="187"/>
      <c r="E26" s="187"/>
    </row>
    <row r="27" spans="1:5" x14ac:dyDescent="0.2">
      <c r="A27" s="184"/>
      <c r="B27" s="185"/>
      <c r="C27" s="186" t="s">
        <v>16</v>
      </c>
      <c r="D27" s="187"/>
      <c r="E27" s="187">
        <f>267780000+750000000</f>
        <v>1017780000</v>
      </c>
    </row>
    <row r="28" spans="1:5" x14ac:dyDescent="0.2">
      <c r="A28" s="184"/>
      <c r="B28" s="185"/>
      <c r="C28" s="186" t="s">
        <v>23</v>
      </c>
      <c r="D28" s="187"/>
      <c r="E28" s="187">
        <f>10%*267780000</f>
        <v>26778000</v>
      </c>
    </row>
    <row r="29" spans="1:5" x14ac:dyDescent="0.2">
      <c r="A29" s="184"/>
      <c r="B29" s="185"/>
      <c r="C29" s="186" t="s">
        <v>253</v>
      </c>
      <c r="D29" s="187"/>
      <c r="E29" s="187">
        <f>10%*750000000</f>
        <v>75000000</v>
      </c>
    </row>
    <row r="30" spans="1:5" x14ac:dyDescent="0.2">
      <c r="A30" s="193"/>
      <c r="B30" s="194"/>
      <c r="C30" s="186"/>
      <c r="D30" s="187"/>
      <c r="E30" s="187"/>
    </row>
    <row r="31" spans="1:5" x14ac:dyDescent="0.2">
      <c r="A31" s="193"/>
      <c r="B31" s="194"/>
      <c r="C31" s="186" t="s">
        <v>18</v>
      </c>
      <c r="D31" s="187"/>
      <c r="E31" s="187"/>
    </row>
    <row r="32" spans="1:5" x14ac:dyDescent="0.2">
      <c r="A32" s="193"/>
      <c r="B32" s="194"/>
      <c r="C32" s="186" t="s">
        <v>19</v>
      </c>
      <c r="D32" s="187"/>
      <c r="E32" s="187">
        <f>D31</f>
        <v>0</v>
      </c>
    </row>
    <row r="33" spans="1:5" x14ac:dyDescent="0.2">
      <c r="A33" s="8"/>
      <c r="B33" s="189"/>
    </row>
    <row r="34" spans="1:5" x14ac:dyDescent="0.2">
      <c r="A34" s="184" t="s">
        <v>254</v>
      </c>
      <c r="B34" s="185" t="s">
        <v>255</v>
      </c>
      <c r="C34" s="186" t="s">
        <v>19</v>
      </c>
      <c r="D34" s="187"/>
      <c r="E34" s="187"/>
    </row>
    <row r="35" spans="1:5" x14ac:dyDescent="0.2">
      <c r="A35" s="184"/>
      <c r="B35" s="185"/>
      <c r="C35" s="186" t="s">
        <v>31</v>
      </c>
      <c r="D35" s="187">
        <f>+D34*10%</f>
        <v>0</v>
      </c>
      <c r="E35" s="187"/>
    </row>
    <row r="36" spans="1:5" x14ac:dyDescent="0.2">
      <c r="A36" s="184"/>
      <c r="B36" s="185"/>
      <c r="C36" s="186" t="s">
        <v>21</v>
      </c>
      <c r="D36" s="187"/>
      <c r="E36" s="187">
        <f>+D34+D35-E37</f>
        <v>0</v>
      </c>
    </row>
    <row r="37" spans="1:5" x14ac:dyDescent="0.2">
      <c r="A37" s="184"/>
      <c r="B37" s="185"/>
      <c r="C37" s="186" t="s">
        <v>256</v>
      </c>
      <c r="D37" s="187"/>
      <c r="E37" s="187">
        <f>15%*D34</f>
        <v>0</v>
      </c>
    </row>
    <row r="38" spans="1:5" x14ac:dyDescent="0.2">
      <c r="A38" s="8"/>
      <c r="B38" s="189"/>
    </row>
    <row r="39" spans="1:5" x14ac:dyDescent="0.2">
      <c r="A39" s="184" t="s">
        <v>257</v>
      </c>
      <c r="B39" s="185" t="s">
        <v>258</v>
      </c>
      <c r="C39" s="186" t="s">
        <v>19</v>
      </c>
      <c r="D39" s="187"/>
      <c r="E39" s="187"/>
    </row>
    <row r="40" spans="1:5" x14ac:dyDescent="0.2">
      <c r="A40" s="184"/>
      <c r="B40" s="185"/>
      <c r="C40" s="186" t="s">
        <v>35</v>
      </c>
      <c r="D40" s="187"/>
      <c r="E40" s="187">
        <v>43970000</v>
      </c>
    </row>
    <row r="41" spans="1:5" x14ac:dyDescent="0.2">
      <c r="A41" s="8"/>
      <c r="B41" s="189"/>
    </row>
    <row r="42" spans="1:5" x14ac:dyDescent="0.2">
      <c r="A42" s="184" t="s">
        <v>259</v>
      </c>
      <c r="B42" s="185" t="s">
        <v>260</v>
      </c>
      <c r="C42" s="186" t="s">
        <v>21</v>
      </c>
      <c r="D42" s="187"/>
      <c r="E42" s="187"/>
    </row>
    <row r="43" spans="1:5" x14ac:dyDescent="0.2">
      <c r="A43" s="184"/>
      <c r="B43" s="185"/>
      <c r="C43" s="186" t="s">
        <v>271</v>
      </c>
      <c r="D43" s="187"/>
      <c r="E43" s="187">
        <v>29000000</v>
      </c>
    </row>
    <row r="44" spans="1:5" x14ac:dyDescent="0.2">
      <c r="A44" s="184"/>
      <c r="B44" s="185"/>
      <c r="C44" s="186" t="s">
        <v>31</v>
      </c>
      <c r="D44" s="187"/>
      <c r="E44" s="187">
        <f>10%*E43</f>
        <v>2900000</v>
      </c>
    </row>
    <row r="45" spans="1:5" x14ac:dyDescent="0.2">
      <c r="A45" s="8"/>
      <c r="B45" s="189"/>
    </row>
    <row r="46" spans="1:5" x14ac:dyDescent="0.2">
      <c r="A46" s="184" t="s">
        <v>261</v>
      </c>
      <c r="B46" s="185" t="s">
        <v>272</v>
      </c>
      <c r="C46" s="186" t="s">
        <v>262</v>
      </c>
      <c r="D46" s="187"/>
      <c r="E46" s="187"/>
    </row>
    <row r="47" spans="1:5" x14ac:dyDescent="0.2">
      <c r="A47" s="184"/>
      <c r="B47" s="185"/>
      <c r="C47" s="186" t="s">
        <v>263</v>
      </c>
      <c r="D47" s="187"/>
      <c r="E47" s="187"/>
    </row>
    <row r="48" spans="1:5" x14ac:dyDescent="0.2">
      <c r="A48" s="184"/>
      <c r="B48" s="185"/>
      <c r="C48" s="186" t="s">
        <v>21</v>
      </c>
      <c r="D48" s="187"/>
      <c r="E48" s="187">
        <f>+D46+D47</f>
        <v>0</v>
      </c>
    </row>
    <row r="49" spans="1:5" x14ac:dyDescent="0.2">
      <c r="A49" s="8"/>
      <c r="B49" s="189"/>
    </row>
    <row r="50" spans="1:5" x14ac:dyDescent="0.2">
      <c r="A50" s="8"/>
      <c r="B50" s="189"/>
    </row>
    <row r="51" spans="1:5" x14ac:dyDescent="0.2">
      <c r="A51" s="191" t="s">
        <v>264</v>
      </c>
      <c r="B51" s="185" t="s">
        <v>273</v>
      </c>
      <c r="C51" s="186" t="s">
        <v>262</v>
      </c>
      <c r="D51" s="187"/>
      <c r="E51" s="187"/>
    </row>
    <row r="52" spans="1:5" x14ac:dyDescent="0.2">
      <c r="A52" s="191"/>
      <c r="B52" s="185"/>
      <c r="C52" s="186" t="s">
        <v>265</v>
      </c>
      <c r="D52" s="187"/>
      <c r="E52" s="187"/>
    </row>
    <row r="53" spans="1:5" x14ac:dyDescent="0.2">
      <c r="A53" s="191"/>
      <c r="B53" s="185"/>
      <c r="C53" s="186" t="s">
        <v>31</v>
      </c>
      <c r="D53" s="187"/>
      <c r="E53" s="187"/>
    </row>
    <row r="54" spans="1:5" x14ac:dyDescent="0.2">
      <c r="A54" s="191"/>
      <c r="B54" s="185"/>
      <c r="C54" s="186" t="s">
        <v>36</v>
      </c>
      <c r="D54" s="187"/>
      <c r="E54" s="187"/>
    </row>
    <row r="55" spans="1:5" x14ac:dyDescent="0.2">
      <c r="A55" s="191"/>
      <c r="B55" s="185"/>
      <c r="C55" s="186" t="s">
        <v>21</v>
      </c>
      <c r="D55" s="187"/>
      <c r="E55" s="187">
        <f>+D51+D52+D53+D54</f>
        <v>0</v>
      </c>
    </row>
  </sheetData>
  <mergeCells count="20">
    <mergeCell ref="A51:A55"/>
    <mergeCell ref="B51:B55"/>
    <mergeCell ref="A39:A40"/>
    <mergeCell ref="B39:B40"/>
    <mergeCell ref="A42:A44"/>
    <mergeCell ref="B42:B44"/>
    <mergeCell ref="A46:A48"/>
    <mergeCell ref="B46:B48"/>
    <mergeCell ref="A21:A24"/>
    <mergeCell ref="B21:B24"/>
    <mergeCell ref="A26:A29"/>
    <mergeCell ref="B26:B29"/>
    <mergeCell ref="A34:A37"/>
    <mergeCell ref="B34:B37"/>
    <mergeCell ref="A5:A7"/>
    <mergeCell ref="B5:B7"/>
    <mergeCell ref="A12:A14"/>
    <mergeCell ref="B12:B14"/>
    <mergeCell ref="A16:A19"/>
    <mergeCell ref="B16:B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D925B-AAC7-0742-A35C-228733609911}">
  <sheetPr>
    <tabColor rgb="FFFFC000"/>
  </sheetPr>
  <dimension ref="A1:T348"/>
  <sheetViews>
    <sheetView zoomScale="111" workbookViewId="0">
      <selection activeCell="D352" sqref="D352"/>
    </sheetView>
  </sheetViews>
  <sheetFormatPr baseColWidth="10" defaultRowHeight="16" x14ac:dyDescent="0.2"/>
  <cols>
    <col min="1" max="1" width="8.1640625" customWidth="1"/>
    <col min="2" max="2" width="15.5" style="3" customWidth="1"/>
    <col min="3" max="3" width="16" customWidth="1"/>
    <col min="4" max="4" width="4.33203125" customWidth="1"/>
    <col min="5" max="5" width="8.5" style="9" customWidth="1"/>
    <col min="6" max="6" width="16.83203125" style="3" customWidth="1"/>
    <col min="7" max="7" width="16" style="3" customWidth="1"/>
    <col min="8" max="8" width="3.83203125" customWidth="1"/>
    <col min="9" max="9" width="7.33203125" customWidth="1"/>
    <col min="10" max="10" width="16.5" style="3" customWidth="1"/>
    <col min="11" max="11" width="16.6640625" style="3" customWidth="1"/>
    <col min="12" max="12" width="4.1640625" customWidth="1"/>
    <col min="13" max="13" width="7.6640625" customWidth="1"/>
    <col min="14" max="14" width="16.5" style="3" customWidth="1"/>
    <col min="15" max="15" width="15.83203125" customWidth="1"/>
    <col min="16" max="16" width="4.5" customWidth="1"/>
    <col min="17" max="17" width="8.1640625" customWidth="1"/>
    <col min="18" max="18" width="17.6640625" style="3" customWidth="1"/>
    <col min="19" max="19" width="13.5" style="3" customWidth="1"/>
  </cols>
  <sheetData>
    <row r="1" spans="1:3" x14ac:dyDescent="0.2">
      <c r="A1" t="s">
        <v>167</v>
      </c>
    </row>
    <row r="3" spans="1:3" x14ac:dyDescent="0.2">
      <c r="A3" s="155" t="s">
        <v>123</v>
      </c>
      <c r="B3" s="155"/>
      <c r="C3" s="155"/>
    </row>
    <row r="4" spans="1:3" x14ac:dyDescent="0.2">
      <c r="A4" s="155" t="s">
        <v>28</v>
      </c>
      <c r="B4" s="155"/>
      <c r="C4" s="56" t="s">
        <v>29</v>
      </c>
    </row>
    <row r="5" spans="1:3" x14ac:dyDescent="0.2">
      <c r="A5" s="82" t="s">
        <v>163</v>
      </c>
      <c r="B5" s="83">
        <v>4789975000</v>
      </c>
      <c r="C5" s="83"/>
    </row>
    <row r="6" spans="1:3" x14ac:dyDescent="0.2">
      <c r="A6" s="84">
        <v>43842</v>
      </c>
      <c r="B6" s="85">
        <v>175000000</v>
      </c>
      <c r="C6" s="85"/>
    </row>
    <row r="7" spans="1:3" x14ac:dyDescent="0.2">
      <c r="A7" s="84">
        <v>43888</v>
      </c>
      <c r="B7" s="85">
        <v>1167068295.4545455</v>
      </c>
      <c r="C7" s="85"/>
    </row>
    <row r="8" spans="1:3" x14ac:dyDescent="0.2">
      <c r="A8" s="84">
        <v>43893</v>
      </c>
      <c r="B8" s="85"/>
      <c r="C8" s="85">
        <v>184625000</v>
      </c>
    </row>
    <row r="9" spans="1:3" x14ac:dyDescent="0.2">
      <c r="A9" s="84">
        <v>43904</v>
      </c>
      <c r="B9" s="85">
        <v>30929500</v>
      </c>
      <c r="C9" s="85"/>
    </row>
    <row r="10" spans="1:3" x14ac:dyDescent="0.2">
      <c r="A10" s="84">
        <v>43911</v>
      </c>
      <c r="B10" s="85">
        <v>126040000</v>
      </c>
      <c r="C10" s="85"/>
    </row>
    <row r="11" spans="1:3" x14ac:dyDescent="0.2">
      <c r="A11" s="84">
        <v>43920</v>
      </c>
      <c r="B11" s="85">
        <v>48400000</v>
      </c>
      <c r="C11" s="85"/>
    </row>
    <row r="12" spans="1:3" x14ac:dyDescent="0.2">
      <c r="A12" s="86">
        <v>43925</v>
      </c>
      <c r="B12" s="87">
        <v>1640475000</v>
      </c>
      <c r="C12" s="87"/>
    </row>
    <row r="13" spans="1:3" x14ac:dyDescent="0.2">
      <c r="A13" s="86">
        <v>43933</v>
      </c>
      <c r="B13" s="87"/>
      <c r="C13" s="87">
        <v>208301250</v>
      </c>
    </row>
    <row r="14" spans="1:3" x14ac:dyDescent="0.2">
      <c r="A14" s="88">
        <v>43936</v>
      </c>
      <c r="B14" s="89">
        <v>937500000</v>
      </c>
      <c r="C14" s="87"/>
    </row>
    <row r="15" spans="1:3" x14ac:dyDescent="0.2">
      <c r="A15" s="90">
        <v>43949</v>
      </c>
      <c r="B15" s="87">
        <v>175000000</v>
      </c>
      <c r="C15" s="87"/>
    </row>
    <row r="16" spans="1:3" x14ac:dyDescent="0.2">
      <c r="A16" s="91" t="s">
        <v>106</v>
      </c>
      <c r="B16" s="87"/>
      <c r="C16" s="87">
        <v>81000000</v>
      </c>
    </row>
    <row r="17" spans="1:3" x14ac:dyDescent="0.2">
      <c r="A17" s="91" t="s">
        <v>241</v>
      </c>
      <c r="B17" s="87"/>
      <c r="C17" s="87"/>
    </row>
    <row r="18" spans="1:3" x14ac:dyDescent="0.2">
      <c r="A18" s="91" t="s">
        <v>110</v>
      </c>
      <c r="B18" s="87"/>
      <c r="C18" s="87"/>
    </row>
    <row r="19" spans="1:3" x14ac:dyDescent="0.2">
      <c r="A19" s="91" t="s">
        <v>245</v>
      </c>
      <c r="B19" s="87"/>
      <c r="C19" s="87"/>
    </row>
    <row r="20" spans="1:3" x14ac:dyDescent="0.2">
      <c r="A20" s="91" t="s">
        <v>252</v>
      </c>
      <c r="B20" s="87"/>
      <c r="C20" s="87"/>
    </row>
    <row r="21" spans="1:3" x14ac:dyDescent="0.2">
      <c r="A21" s="91" t="s">
        <v>254</v>
      </c>
      <c r="B21" s="87"/>
      <c r="C21" s="87"/>
    </row>
    <row r="22" spans="1:3" x14ac:dyDescent="0.2">
      <c r="A22" s="91" t="s">
        <v>259</v>
      </c>
      <c r="B22" s="87"/>
      <c r="C22" s="87"/>
    </row>
    <row r="23" spans="1:3" x14ac:dyDescent="0.2">
      <c r="A23" s="91" t="s">
        <v>261</v>
      </c>
      <c r="B23" s="87"/>
      <c r="C23" s="87"/>
    </row>
    <row r="24" spans="1:3" x14ac:dyDescent="0.2">
      <c r="A24" s="91" t="s">
        <v>264</v>
      </c>
      <c r="B24" s="87"/>
      <c r="C24" s="87"/>
    </row>
    <row r="25" spans="1:3" x14ac:dyDescent="0.2">
      <c r="A25" s="91" t="s">
        <v>107</v>
      </c>
      <c r="B25" s="87"/>
      <c r="C25" s="87">
        <v>1095401953.125</v>
      </c>
    </row>
    <row r="26" spans="1:3" x14ac:dyDescent="0.2">
      <c r="A26" s="92" t="s">
        <v>111</v>
      </c>
      <c r="B26" s="87"/>
      <c r="C26" s="87">
        <v>113403000</v>
      </c>
    </row>
    <row r="27" spans="1:3" x14ac:dyDescent="0.2">
      <c r="A27" s="92" t="s">
        <v>113</v>
      </c>
      <c r="B27" s="87">
        <v>55000000</v>
      </c>
      <c r="C27" s="87"/>
    </row>
    <row r="28" spans="1:3" x14ac:dyDescent="0.2">
      <c r="A28" s="92" t="s">
        <v>147</v>
      </c>
      <c r="B28" s="87"/>
      <c r="C28" s="87">
        <v>670000000</v>
      </c>
    </row>
    <row r="29" spans="1:3" x14ac:dyDescent="0.2">
      <c r="A29" s="92" t="s">
        <v>115</v>
      </c>
      <c r="B29" s="87"/>
      <c r="C29" s="87">
        <v>350000000</v>
      </c>
    </row>
    <row r="30" spans="1:3" x14ac:dyDescent="0.2">
      <c r="A30" s="92" t="s">
        <v>149</v>
      </c>
      <c r="B30" s="87"/>
      <c r="C30" s="87">
        <v>1320453750</v>
      </c>
    </row>
    <row r="31" spans="1:3" x14ac:dyDescent="0.2">
      <c r="A31" s="92" t="s">
        <v>150</v>
      </c>
      <c r="B31" s="87"/>
      <c r="C31" s="87">
        <v>560000000</v>
      </c>
    </row>
    <row r="32" spans="1:3" x14ac:dyDescent="0.2">
      <c r="A32" s="92" t="s">
        <v>155</v>
      </c>
      <c r="B32" s="87"/>
      <c r="C32" s="93">
        <v>442637500</v>
      </c>
    </row>
    <row r="33" spans="1:3" x14ac:dyDescent="0.2">
      <c r="A33" s="92" t="s">
        <v>157</v>
      </c>
      <c r="B33" s="87">
        <v>718500000</v>
      </c>
      <c r="C33" s="87"/>
    </row>
    <row r="34" spans="1:3" x14ac:dyDescent="0.2">
      <c r="A34" s="92" t="s">
        <v>157</v>
      </c>
      <c r="B34" s="87"/>
      <c r="C34" s="87">
        <v>90000000</v>
      </c>
    </row>
    <row r="35" spans="1:3" x14ac:dyDescent="0.2">
      <c r="A35" s="92" t="s">
        <v>161</v>
      </c>
      <c r="B35" s="87"/>
      <c r="C35" s="87">
        <v>2194590000</v>
      </c>
    </row>
    <row r="36" spans="1:3" x14ac:dyDescent="0.2">
      <c r="A36" s="94"/>
      <c r="B36" s="87">
        <f>SUM(B5:B35)</f>
        <v>9863887795.454546</v>
      </c>
      <c r="C36" s="95">
        <f>SUM(C5:C35)</f>
        <v>7310412453.125</v>
      </c>
    </row>
    <row r="37" spans="1:3" x14ac:dyDescent="0.2">
      <c r="A37" s="63" t="s">
        <v>164</v>
      </c>
      <c r="B37" s="64">
        <f>+B36-C36</f>
        <v>2553475342.329546</v>
      </c>
      <c r="C37" s="62"/>
    </row>
    <row r="40" spans="1:3" x14ac:dyDescent="0.2">
      <c r="A40" s="156" t="s">
        <v>116</v>
      </c>
      <c r="B40" s="156"/>
      <c r="C40" s="156"/>
    </row>
    <row r="41" spans="1:3" x14ac:dyDescent="0.2">
      <c r="A41" s="156" t="s">
        <v>28</v>
      </c>
      <c r="B41" s="156"/>
      <c r="C41" s="146" t="s">
        <v>29</v>
      </c>
    </row>
    <row r="42" spans="1:3" x14ac:dyDescent="0.2">
      <c r="A42" s="96" t="s">
        <v>163</v>
      </c>
      <c r="B42" s="97">
        <v>576000000</v>
      </c>
      <c r="C42" s="98"/>
    </row>
    <row r="43" spans="1:3" x14ac:dyDescent="0.2">
      <c r="A43" s="99">
        <v>43835</v>
      </c>
      <c r="B43" s="87">
        <v>787065800</v>
      </c>
      <c r="C43" s="94"/>
    </row>
    <row r="44" spans="1:3" x14ac:dyDescent="0.2">
      <c r="A44" s="94"/>
      <c r="B44" s="87"/>
      <c r="C44" s="94"/>
    </row>
    <row r="45" spans="1:3" x14ac:dyDescent="0.2">
      <c r="A45" s="65" t="s">
        <v>163</v>
      </c>
      <c r="B45" s="64">
        <f>SUM(B42:B44)</f>
        <v>1363065800</v>
      </c>
      <c r="C45" s="62"/>
    </row>
    <row r="48" spans="1:3" x14ac:dyDescent="0.2">
      <c r="A48" s="155" t="s">
        <v>119</v>
      </c>
      <c r="B48" s="155"/>
      <c r="C48" s="155"/>
    </row>
    <row r="49" spans="1:3" x14ac:dyDescent="0.2">
      <c r="A49" s="155" t="s">
        <v>28</v>
      </c>
      <c r="B49" s="155"/>
      <c r="C49" s="56" t="s">
        <v>29</v>
      </c>
    </row>
    <row r="50" spans="1:3" x14ac:dyDescent="0.2">
      <c r="A50" s="82" t="s">
        <v>163</v>
      </c>
      <c r="B50" s="83">
        <v>945789000</v>
      </c>
      <c r="C50" s="100"/>
    </row>
    <row r="51" spans="1:3" x14ac:dyDescent="0.2">
      <c r="A51" s="101">
        <v>43835</v>
      </c>
      <c r="B51" s="85"/>
      <c r="C51" s="85">
        <v>363908500</v>
      </c>
    </row>
    <row r="52" spans="1:3" x14ac:dyDescent="0.2">
      <c r="A52" s="101">
        <v>43876</v>
      </c>
      <c r="B52" s="85">
        <v>150000000</v>
      </c>
      <c r="C52" s="85"/>
    </row>
    <row r="53" spans="1:3" x14ac:dyDescent="0.2">
      <c r="A53" s="101">
        <v>43888</v>
      </c>
      <c r="B53" s="85"/>
      <c r="C53" s="85">
        <v>710000000</v>
      </c>
    </row>
    <row r="54" spans="1:3" x14ac:dyDescent="0.2">
      <c r="A54" s="101">
        <v>43925</v>
      </c>
      <c r="B54" s="85"/>
      <c r="C54" s="85">
        <v>836687500</v>
      </c>
    </row>
    <row r="55" spans="1:3" x14ac:dyDescent="0.2">
      <c r="A55" s="101">
        <v>43933</v>
      </c>
      <c r="B55" s="85">
        <v>189364773</v>
      </c>
      <c r="C55" s="85"/>
    </row>
    <row r="56" spans="1:3" x14ac:dyDescent="0.2">
      <c r="A56" s="101">
        <v>43936</v>
      </c>
      <c r="B56" s="85"/>
      <c r="C56" s="85">
        <v>375000000</v>
      </c>
    </row>
    <row r="57" spans="1:3" x14ac:dyDescent="0.2">
      <c r="A57" s="101" t="s">
        <v>241</v>
      </c>
      <c r="B57" s="85"/>
      <c r="C57" s="85">
        <f>'SOAL PERTEMUAN 14'!E10</f>
        <v>0</v>
      </c>
    </row>
    <row r="58" spans="1:3" x14ac:dyDescent="0.2">
      <c r="A58" s="101" t="s">
        <v>252</v>
      </c>
      <c r="B58" s="85"/>
      <c r="C58" s="85">
        <f>'SOAL PERTEMUAN 14'!E32</f>
        <v>0</v>
      </c>
    </row>
    <row r="59" spans="1:3" x14ac:dyDescent="0.2">
      <c r="A59" s="101" t="s">
        <v>254</v>
      </c>
      <c r="B59" s="85">
        <f>'SOAL PERTEMUAN 14'!D34</f>
        <v>0</v>
      </c>
      <c r="C59" s="85"/>
    </row>
    <row r="60" spans="1:3" x14ac:dyDescent="0.2">
      <c r="A60" s="101" t="s">
        <v>257</v>
      </c>
      <c r="B60" s="85">
        <f>'SOAL PERTEMUAN 14'!D39</f>
        <v>0</v>
      </c>
      <c r="C60" s="85"/>
    </row>
    <row r="61" spans="1:3" x14ac:dyDescent="0.2">
      <c r="A61" s="101" t="s">
        <v>259</v>
      </c>
      <c r="B61" s="85"/>
      <c r="C61" s="85"/>
    </row>
    <row r="62" spans="1:3" x14ac:dyDescent="0.2">
      <c r="A62" s="101" t="s">
        <v>261</v>
      </c>
      <c r="B62" s="85">
        <f>+'SOAL PERTEMUAN 14'!E48</f>
        <v>0</v>
      </c>
      <c r="C62" s="85"/>
    </row>
    <row r="63" spans="1:3" x14ac:dyDescent="0.2">
      <c r="A63" s="101" t="s">
        <v>264</v>
      </c>
      <c r="B63" s="85">
        <f>'SOAL PERTEMUAN 14'!E55</f>
        <v>0</v>
      </c>
      <c r="C63" s="85"/>
    </row>
    <row r="64" spans="1:3" x14ac:dyDescent="0.2">
      <c r="A64" s="94" t="s">
        <v>107</v>
      </c>
      <c r="B64" s="87">
        <v>973690625</v>
      </c>
      <c r="C64" s="87"/>
    </row>
    <row r="65" spans="1:4" x14ac:dyDescent="0.2">
      <c r="A65" s="94" t="s">
        <v>111</v>
      </c>
      <c r="B65" s="87">
        <v>103000000</v>
      </c>
      <c r="C65" s="87"/>
    </row>
    <row r="66" spans="1:4" x14ac:dyDescent="0.2">
      <c r="A66" s="94"/>
      <c r="B66" s="87">
        <f>SUM(B50:B65)</f>
        <v>2361844398</v>
      </c>
      <c r="C66" s="87">
        <f>SUM(C50:C65)</f>
        <v>2285596000</v>
      </c>
    </row>
    <row r="67" spans="1:4" x14ac:dyDescent="0.2">
      <c r="A67" s="65" t="s">
        <v>163</v>
      </c>
      <c r="B67" s="64">
        <f>+B66-C66</f>
        <v>76248398</v>
      </c>
      <c r="C67" s="58"/>
    </row>
    <row r="68" spans="1:4" x14ac:dyDescent="0.2">
      <c r="A68" s="62"/>
      <c r="B68" s="58"/>
      <c r="C68" s="58"/>
    </row>
    <row r="71" spans="1:4" x14ac:dyDescent="0.2">
      <c r="A71" s="155" t="s">
        <v>136</v>
      </c>
      <c r="B71" s="155"/>
      <c r="C71" s="155"/>
    </row>
    <row r="72" spans="1:4" x14ac:dyDescent="0.2">
      <c r="A72" s="155" t="s">
        <v>28</v>
      </c>
      <c r="B72" s="155"/>
      <c r="C72" s="145" t="s">
        <v>29</v>
      </c>
    </row>
    <row r="73" spans="1:4" x14ac:dyDescent="0.2">
      <c r="A73" s="101" t="s">
        <v>163</v>
      </c>
      <c r="B73" s="85">
        <v>10000000</v>
      </c>
      <c r="C73" s="93"/>
    </row>
    <row r="74" spans="1:4" x14ac:dyDescent="0.2">
      <c r="A74" s="101" t="s">
        <v>137</v>
      </c>
      <c r="B74" s="85">
        <v>81000000</v>
      </c>
      <c r="C74" s="93"/>
    </row>
    <row r="75" spans="1:4" x14ac:dyDescent="0.2">
      <c r="A75" s="75" t="s">
        <v>163</v>
      </c>
      <c r="B75" s="70">
        <f>SUM(B73:B74)</f>
        <v>91000000</v>
      </c>
      <c r="C75" s="75"/>
    </row>
    <row r="77" spans="1:4" x14ac:dyDescent="0.2">
      <c r="D77" s="50"/>
    </row>
    <row r="78" spans="1:4" x14ac:dyDescent="0.2">
      <c r="A78" s="155" t="s">
        <v>131</v>
      </c>
      <c r="B78" s="155"/>
      <c r="C78" s="155"/>
    </row>
    <row r="79" spans="1:4" x14ac:dyDescent="0.2">
      <c r="A79" s="155" t="s">
        <v>28</v>
      </c>
      <c r="B79" s="155"/>
      <c r="C79" s="71" t="s">
        <v>128</v>
      </c>
    </row>
    <row r="80" spans="1:4" x14ac:dyDescent="0.2">
      <c r="A80" s="101" t="s">
        <v>163</v>
      </c>
      <c r="B80" s="93">
        <v>935775400</v>
      </c>
      <c r="C80" s="93"/>
    </row>
    <row r="81" spans="1:20" x14ac:dyDescent="0.2">
      <c r="A81" s="101">
        <v>43904</v>
      </c>
      <c r="B81" s="93"/>
      <c r="C81" s="93">
        <v>12500000</v>
      </c>
    </row>
    <row r="82" spans="1:20" x14ac:dyDescent="0.2">
      <c r="A82" s="75" t="s">
        <v>163</v>
      </c>
      <c r="B82" s="71">
        <f>+B80-C81</f>
        <v>923275400</v>
      </c>
      <c r="C82" s="71"/>
    </row>
    <row r="83" spans="1:20" x14ac:dyDescent="0.2">
      <c r="A83" s="76"/>
      <c r="B83" s="80"/>
      <c r="C83" s="80"/>
      <c r="D83" s="37"/>
    </row>
    <row r="84" spans="1:20" x14ac:dyDescent="0.2">
      <c r="A84" s="76"/>
      <c r="B84" s="80"/>
      <c r="C84" s="80"/>
      <c r="D84" s="37"/>
    </row>
    <row r="85" spans="1:20" x14ac:dyDescent="0.2">
      <c r="A85" s="162" t="s">
        <v>134</v>
      </c>
      <c r="B85" s="162"/>
      <c r="C85" s="162"/>
      <c r="D85" s="41"/>
    </row>
    <row r="86" spans="1:20" x14ac:dyDescent="0.2">
      <c r="A86" s="157" t="s">
        <v>28</v>
      </c>
      <c r="B86" s="157"/>
      <c r="C86" s="81" t="s">
        <v>128</v>
      </c>
      <c r="D86" s="40"/>
      <c r="T86" s="38"/>
    </row>
    <row r="87" spans="1:20" x14ac:dyDescent="0.2">
      <c r="A87" s="101" t="s">
        <v>163</v>
      </c>
      <c r="B87" s="93">
        <v>543975000</v>
      </c>
      <c r="C87" s="93"/>
      <c r="D87" s="37"/>
      <c r="T87" s="38"/>
    </row>
    <row r="88" spans="1:20" x14ac:dyDescent="0.2">
      <c r="A88" s="101">
        <v>43904</v>
      </c>
      <c r="B88" s="93"/>
      <c r="C88" s="93">
        <v>72750000</v>
      </c>
      <c r="D88" s="37"/>
      <c r="T88" s="38"/>
    </row>
    <row r="89" spans="1:20" x14ac:dyDescent="0.2">
      <c r="A89" s="65" t="s">
        <v>163</v>
      </c>
      <c r="B89" s="64">
        <f>+B87-C88</f>
        <v>471225000</v>
      </c>
      <c r="C89" s="65"/>
      <c r="D89" s="40"/>
      <c r="T89" s="38"/>
    </row>
    <row r="90" spans="1:20" x14ac:dyDescent="0.2">
      <c r="D90" s="40"/>
      <c r="T90" s="38"/>
    </row>
    <row r="91" spans="1:20" x14ac:dyDescent="0.2">
      <c r="D91" s="37"/>
      <c r="T91" s="38"/>
    </row>
    <row r="92" spans="1:20" x14ac:dyDescent="0.2">
      <c r="A92" s="158" t="s">
        <v>143</v>
      </c>
      <c r="B92" s="159"/>
      <c r="C92" s="160"/>
      <c r="D92" s="40"/>
    </row>
    <row r="93" spans="1:20" x14ac:dyDescent="0.2">
      <c r="A93" s="158" t="s">
        <v>28</v>
      </c>
      <c r="B93" s="160"/>
      <c r="C93" s="78" t="s">
        <v>29</v>
      </c>
      <c r="D93" s="37"/>
    </row>
    <row r="94" spans="1:20" x14ac:dyDescent="0.2">
      <c r="A94" s="101" t="s">
        <v>163</v>
      </c>
      <c r="B94" s="85">
        <v>0</v>
      </c>
      <c r="C94" s="93"/>
      <c r="D94" s="40"/>
    </row>
    <row r="95" spans="1:20" x14ac:dyDescent="0.2">
      <c r="A95" s="101" t="s">
        <v>112</v>
      </c>
      <c r="B95" s="85">
        <v>3653846154</v>
      </c>
      <c r="C95" s="93"/>
      <c r="D95" s="52"/>
    </row>
    <row r="96" spans="1:20" x14ac:dyDescent="0.2">
      <c r="A96" s="75" t="s">
        <v>163</v>
      </c>
      <c r="B96" s="70">
        <f>B95</f>
        <v>3653846154</v>
      </c>
      <c r="C96" s="75"/>
      <c r="D96" s="51"/>
    </row>
    <row r="97" spans="1:4" x14ac:dyDescent="0.2">
      <c r="B97" s="61"/>
      <c r="C97" s="52"/>
      <c r="D97" s="37"/>
    </row>
    <row r="98" spans="1:4" x14ac:dyDescent="0.2">
      <c r="B98" s="61"/>
      <c r="C98" s="52"/>
      <c r="D98" s="37"/>
    </row>
    <row r="99" spans="1:4" x14ac:dyDescent="0.2">
      <c r="A99" s="158" t="s">
        <v>269</v>
      </c>
      <c r="B99" s="159"/>
      <c r="C99" s="160"/>
      <c r="D99" s="37"/>
    </row>
    <row r="100" spans="1:4" x14ac:dyDescent="0.2">
      <c r="A100" s="158" t="s">
        <v>28</v>
      </c>
      <c r="B100" s="160"/>
      <c r="C100" s="78" t="s">
        <v>29</v>
      </c>
      <c r="D100" s="37"/>
    </row>
    <row r="101" spans="1:4" x14ac:dyDescent="0.2">
      <c r="A101" s="101" t="s">
        <v>163</v>
      </c>
      <c r="B101" s="85">
        <v>0</v>
      </c>
      <c r="C101" s="93"/>
      <c r="D101" s="37"/>
    </row>
    <row r="102" spans="1:4" x14ac:dyDescent="0.2">
      <c r="A102" s="101" t="s">
        <v>270</v>
      </c>
      <c r="B102" s="85">
        <f>'SOAL PERTEMUAN 14'!D21</f>
        <v>0</v>
      </c>
      <c r="C102" s="93"/>
      <c r="D102" s="37"/>
    </row>
    <row r="103" spans="1:4" x14ac:dyDescent="0.2">
      <c r="A103" s="75" t="s">
        <v>163</v>
      </c>
      <c r="B103" s="70">
        <f>B102</f>
        <v>0</v>
      </c>
      <c r="C103" s="75"/>
      <c r="D103" s="37"/>
    </row>
    <row r="104" spans="1:4" x14ac:dyDescent="0.2">
      <c r="B104" s="61"/>
      <c r="C104" s="52"/>
      <c r="D104" s="37"/>
    </row>
    <row r="105" spans="1:4" x14ac:dyDescent="0.2">
      <c r="B105" s="61"/>
      <c r="C105" s="51"/>
      <c r="D105" s="37"/>
    </row>
    <row r="106" spans="1:4" x14ac:dyDescent="0.2">
      <c r="A106" s="158" t="s">
        <v>146</v>
      </c>
      <c r="B106" s="159"/>
      <c r="C106" s="160"/>
      <c r="D106" s="40"/>
    </row>
    <row r="107" spans="1:4" x14ac:dyDescent="0.2">
      <c r="A107" s="158" t="s">
        <v>28</v>
      </c>
      <c r="B107" s="160"/>
      <c r="C107" s="78" t="s">
        <v>29</v>
      </c>
    </row>
    <row r="108" spans="1:4" x14ac:dyDescent="0.2">
      <c r="A108" s="101" t="s">
        <v>163</v>
      </c>
      <c r="B108" s="85">
        <v>0</v>
      </c>
      <c r="C108" s="93"/>
    </row>
    <row r="109" spans="1:4" x14ac:dyDescent="0.2">
      <c r="A109" s="101" t="s">
        <v>114</v>
      </c>
      <c r="B109" s="85">
        <v>670000000</v>
      </c>
      <c r="C109" s="93"/>
    </row>
    <row r="110" spans="1:4" x14ac:dyDescent="0.2">
      <c r="A110" s="101" t="s">
        <v>115</v>
      </c>
      <c r="B110" s="85">
        <v>350000000</v>
      </c>
      <c r="C110" s="93"/>
    </row>
    <row r="111" spans="1:4" x14ac:dyDescent="0.2">
      <c r="A111" s="75" t="s">
        <v>163</v>
      </c>
      <c r="B111" s="70">
        <f>SUM(B109:B110)</f>
        <v>1020000000</v>
      </c>
      <c r="C111" s="69"/>
    </row>
    <row r="113" spans="1:20" x14ac:dyDescent="0.2">
      <c r="D113" s="37"/>
    </row>
    <row r="114" spans="1:20" x14ac:dyDescent="0.2">
      <c r="A114" s="155" t="s">
        <v>122</v>
      </c>
      <c r="B114" s="155"/>
      <c r="C114" s="155"/>
      <c r="D114" s="37"/>
    </row>
    <row r="115" spans="1:20" x14ac:dyDescent="0.2">
      <c r="A115" s="156" t="s">
        <v>28</v>
      </c>
      <c r="B115" s="156"/>
      <c r="C115" s="79" t="s">
        <v>29</v>
      </c>
      <c r="D115" s="37"/>
    </row>
    <row r="116" spans="1:20" x14ac:dyDescent="0.2">
      <c r="A116" s="101" t="s">
        <v>163</v>
      </c>
      <c r="B116" s="85">
        <v>0</v>
      </c>
      <c r="C116" s="93"/>
      <c r="D116" s="37"/>
      <c r="Q116" s="76"/>
      <c r="R116" s="77"/>
      <c r="S116" s="77"/>
    </row>
    <row r="117" spans="1:20" x14ac:dyDescent="0.2">
      <c r="A117" s="101">
        <v>43869</v>
      </c>
      <c r="B117" s="85">
        <v>158390000</v>
      </c>
      <c r="C117" s="93"/>
    </row>
    <row r="118" spans="1:20" x14ac:dyDescent="0.2">
      <c r="A118" s="75" t="s">
        <v>163</v>
      </c>
      <c r="B118" s="70">
        <f>SUM(B116:B117)</f>
        <v>158390000</v>
      </c>
      <c r="C118" s="69"/>
    </row>
    <row r="121" spans="1:20" x14ac:dyDescent="0.2">
      <c r="A121" s="155" t="s">
        <v>267</v>
      </c>
      <c r="B121" s="155"/>
      <c r="C121" s="155"/>
    </row>
    <row r="122" spans="1:20" x14ac:dyDescent="0.2">
      <c r="A122" s="156" t="s">
        <v>28</v>
      </c>
      <c r="B122" s="156"/>
      <c r="C122" s="79" t="s">
        <v>29</v>
      </c>
    </row>
    <row r="123" spans="1:20" x14ac:dyDescent="0.2">
      <c r="A123" s="101" t="s">
        <v>163</v>
      </c>
      <c r="B123" s="85">
        <v>0</v>
      </c>
      <c r="C123" s="93"/>
    </row>
    <row r="124" spans="1:20" x14ac:dyDescent="0.2">
      <c r="A124" s="101" t="s">
        <v>268</v>
      </c>
      <c r="B124" s="85">
        <f>'SOAL PERTEMUAN 14'!D12</f>
        <v>0</v>
      </c>
      <c r="C124" s="93"/>
    </row>
    <row r="125" spans="1:20" x14ac:dyDescent="0.2">
      <c r="A125" s="75" t="s">
        <v>163</v>
      </c>
      <c r="B125" s="70">
        <f>SUM(B123:B124)</f>
        <v>0</v>
      </c>
      <c r="C125" s="69"/>
    </row>
    <row r="127" spans="1:20" x14ac:dyDescent="0.2">
      <c r="A127" s="155" t="s">
        <v>121</v>
      </c>
      <c r="B127" s="155"/>
      <c r="C127" s="155"/>
    </row>
    <row r="128" spans="1:20" x14ac:dyDescent="0.2">
      <c r="A128" s="155" t="s">
        <v>28</v>
      </c>
      <c r="B128" s="155"/>
      <c r="C128" s="145" t="s">
        <v>29</v>
      </c>
      <c r="T128" s="38"/>
    </row>
    <row r="129" spans="1:20" x14ac:dyDescent="0.2">
      <c r="A129" s="104" t="s">
        <v>163</v>
      </c>
      <c r="B129" s="87"/>
      <c r="C129" s="87">
        <v>23789000</v>
      </c>
      <c r="T129" s="38"/>
    </row>
    <row r="130" spans="1:20" x14ac:dyDescent="0.2">
      <c r="A130" s="105">
        <v>43869</v>
      </c>
      <c r="B130" s="85"/>
      <c r="C130" s="93">
        <v>174229000</v>
      </c>
      <c r="T130" s="38"/>
    </row>
    <row r="131" spans="1:20" x14ac:dyDescent="0.2">
      <c r="A131" s="105">
        <v>43876</v>
      </c>
      <c r="B131" s="85"/>
      <c r="C131" s="93">
        <v>165000000</v>
      </c>
      <c r="T131" s="38"/>
    </row>
    <row r="132" spans="1:20" x14ac:dyDescent="0.2">
      <c r="A132" s="106" t="s">
        <v>112</v>
      </c>
      <c r="B132" s="85"/>
      <c r="C132" s="107">
        <v>4035673077</v>
      </c>
      <c r="T132" s="38"/>
    </row>
    <row r="133" spans="1:20" x14ac:dyDescent="0.2">
      <c r="A133" s="145" t="s">
        <v>163</v>
      </c>
      <c r="B133" s="70"/>
      <c r="C133" s="71">
        <f>SUM(C129:C132)</f>
        <v>4398691077</v>
      </c>
      <c r="T133" s="38"/>
    </row>
    <row r="134" spans="1:20" x14ac:dyDescent="0.2">
      <c r="A134" s="72"/>
      <c r="B134" s="73"/>
      <c r="C134" s="74"/>
      <c r="T134" s="38"/>
    </row>
    <row r="135" spans="1:20" x14ac:dyDescent="0.2">
      <c r="A135" s="9"/>
      <c r="C135" s="3"/>
      <c r="T135" s="38"/>
    </row>
    <row r="136" spans="1:20" x14ac:dyDescent="0.2">
      <c r="A136" s="155" t="s">
        <v>159</v>
      </c>
      <c r="B136" s="155"/>
      <c r="C136" s="155"/>
      <c r="Q136" s="38"/>
      <c r="R136" s="37"/>
      <c r="S136" s="37"/>
      <c r="T136" s="38"/>
    </row>
    <row r="137" spans="1:20" x14ac:dyDescent="0.2">
      <c r="A137" s="162" t="s">
        <v>28</v>
      </c>
      <c r="B137" s="162"/>
      <c r="C137" s="117" t="s">
        <v>128</v>
      </c>
      <c r="Q137" s="38"/>
      <c r="R137" s="37"/>
      <c r="S137" s="37"/>
      <c r="T137" s="38"/>
    </row>
    <row r="138" spans="1:20" x14ac:dyDescent="0.2">
      <c r="A138" s="101" t="s">
        <v>157</v>
      </c>
      <c r="B138" s="93"/>
      <c r="C138" s="93">
        <v>540000000</v>
      </c>
      <c r="Q138" s="76"/>
      <c r="R138" s="77"/>
      <c r="S138" s="77"/>
      <c r="T138" s="38"/>
    </row>
    <row r="139" spans="1:20" x14ac:dyDescent="0.2">
      <c r="A139" s="69"/>
      <c r="B139" s="59"/>
      <c r="C139" s="59"/>
      <c r="Q139" s="76"/>
      <c r="R139" s="77"/>
      <c r="S139" s="77"/>
      <c r="T139" s="38"/>
    </row>
    <row r="140" spans="1:20" x14ac:dyDescent="0.2">
      <c r="A140" s="9"/>
      <c r="C140" s="3"/>
      <c r="Q140" s="76"/>
      <c r="R140" s="77"/>
      <c r="S140" s="77"/>
      <c r="T140" s="38"/>
    </row>
    <row r="141" spans="1:20" x14ac:dyDescent="0.2">
      <c r="A141" s="9"/>
      <c r="C141" s="3"/>
      <c r="Q141" s="76"/>
      <c r="R141" s="77"/>
      <c r="S141" s="77"/>
      <c r="T141" s="38"/>
    </row>
    <row r="142" spans="1:20" x14ac:dyDescent="0.2">
      <c r="A142" s="155" t="s">
        <v>138</v>
      </c>
      <c r="B142" s="155"/>
      <c r="C142" s="155"/>
      <c r="Q142" s="38"/>
      <c r="R142" s="37"/>
      <c r="S142" s="37"/>
      <c r="T142" s="38"/>
    </row>
    <row r="143" spans="1:20" x14ac:dyDescent="0.2">
      <c r="A143" s="155" t="s">
        <v>28</v>
      </c>
      <c r="B143" s="155"/>
      <c r="C143" s="71" t="s">
        <v>128</v>
      </c>
      <c r="Q143" s="38"/>
      <c r="R143" s="37"/>
      <c r="S143" s="37"/>
      <c r="T143" s="38"/>
    </row>
    <row r="144" spans="1:20" x14ac:dyDescent="0.2">
      <c r="A144" s="101" t="s">
        <v>139</v>
      </c>
      <c r="B144" s="93">
        <v>5800000</v>
      </c>
      <c r="C144" s="93"/>
    </row>
    <row r="145" spans="1:3" x14ac:dyDescent="0.2">
      <c r="A145" s="67"/>
      <c r="B145" s="59"/>
      <c r="C145" s="59"/>
    </row>
    <row r="146" spans="1:3" x14ac:dyDescent="0.2">
      <c r="A146" s="9"/>
      <c r="C146" s="3"/>
    </row>
    <row r="147" spans="1:3" x14ac:dyDescent="0.2">
      <c r="A147" s="9"/>
      <c r="C147" s="3"/>
    </row>
    <row r="148" spans="1:3" x14ac:dyDescent="0.2">
      <c r="A148" s="155" t="s">
        <v>140</v>
      </c>
      <c r="B148" s="155"/>
      <c r="C148" s="155"/>
    </row>
    <row r="149" spans="1:3" x14ac:dyDescent="0.2">
      <c r="A149" s="155" t="s">
        <v>28</v>
      </c>
      <c r="B149" s="155"/>
      <c r="C149" s="71" t="s">
        <v>128</v>
      </c>
    </row>
    <row r="150" spans="1:3" x14ac:dyDescent="0.2">
      <c r="A150" s="101" t="s">
        <v>139</v>
      </c>
      <c r="B150" s="93"/>
      <c r="C150" s="93">
        <v>58000000</v>
      </c>
    </row>
    <row r="151" spans="1:3" x14ac:dyDescent="0.2">
      <c r="A151" s="67"/>
      <c r="B151" s="59"/>
      <c r="C151" s="59"/>
    </row>
    <row r="152" spans="1:3" x14ac:dyDescent="0.2">
      <c r="A152" s="9"/>
      <c r="C152" s="3"/>
    </row>
    <row r="153" spans="1:3" x14ac:dyDescent="0.2">
      <c r="A153" s="9"/>
      <c r="C153" s="3"/>
    </row>
    <row r="154" spans="1:3" x14ac:dyDescent="0.2">
      <c r="A154" s="155" t="s">
        <v>173</v>
      </c>
      <c r="B154" s="155"/>
      <c r="C154" s="155"/>
    </row>
    <row r="155" spans="1:3" x14ac:dyDescent="0.2">
      <c r="A155" s="155" t="s">
        <v>28</v>
      </c>
      <c r="B155" s="155"/>
      <c r="C155" s="71" t="s">
        <v>128</v>
      </c>
    </row>
    <row r="156" spans="1:3" x14ac:dyDescent="0.2">
      <c r="A156" s="101" t="s">
        <v>157</v>
      </c>
      <c r="B156" s="93"/>
      <c r="C156" s="93">
        <v>210000000</v>
      </c>
    </row>
    <row r="157" spans="1:3" x14ac:dyDescent="0.2">
      <c r="A157" s="69"/>
      <c r="B157" s="59"/>
      <c r="C157" s="59"/>
    </row>
    <row r="158" spans="1:3" x14ac:dyDescent="0.2">
      <c r="A158" s="9"/>
      <c r="C158" s="3"/>
    </row>
    <row r="159" spans="1:3" x14ac:dyDescent="0.2">
      <c r="A159" s="9"/>
      <c r="C159" s="3"/>
    </row>
    <row r="160" spans="1:3" x14ac:dyDescent="0.2">
      <c r="A160" s="156" t="s">
        <v>117</v>
      </c>
      <c r="B160" s="156"/>
      <c r="C160" s="156"/>
    </row>
    <row r="161" spans="1:3" x14ac:dyDescent="0.2">
      <c r="A161" s="156" t="s">
        <v>28</v>
      </c>
      <c r="B161" s="156"/>
      <c r="C161" s="102" t="s">
        <v>29</v>
      </c>
    </row>
    <row r="162" spans="1:3" x14ac:dyDescent="0.2">
      <c r="A162" s="103">
        <v>43835</v>
      </c>
      <c r="B162" s="87"/>
      <c r="C162" s="87">
        <v>715514363.63636363</v>
      </c>
    </row>
    <row r="163" spans="1:3" x14ac:dyDescent="0.2">
      <c r="A163" s="103">
        <v>43888</v>
      </c>
      <c r="B163" s="87"/>
      <c r="C163" s="87">
        <v>1184840909.090909</v>
      </c>
    </row>
    <row r="164" spans="1:3" x14ac:dyDescent="0.2">
      <c r="A164" s="103">
        <v>43925</v>
      </c>
      <c r="B164" s="87"/>
      <c r="C164" s="87">
        <v>1491340909.090909</v>
      </c>
    </row>
    <row r="165" spans="1:3" x14ac:dyDescent="0.2">
      <c r="A165" s="103">
        <v>43936</v>
      </c>
      <c r="B165" s="87"/>
      <c r="C165" s="87">
        <v>852272727.27272725</v>
      </c>
    </row>
    <row r="166" spans="1:3" x14ac:dyDescent="0.2">
      <c r="A166" s="103" t="s">
        <v>241</v>
      </c>
      <c r="B166" s="87"/>
      <c r="C166" s="87">
        <f>'SOAL PERTEMUAN 14'!E6</f>
        <v>0</v>
      </c>
    </row>
    <row r="167" spans="1:3" x14ac:dyDescent="0.2">
      <c r="A167" s="103" t="s">
        <v>252</v>
      </c>
      <c r="B167" s="87"/>
      <c r="C167" s="87"/>
    </row>
    <row r="168" spans="1:3" x14ac:dyDescent="0.2">
      <c r="A168" s="108" t="s">
        <v>163</v>
      </c>
      <c r="B168" s="109"/>
      <c r="C168" s="110">
        <f>SUM(C162:C167)</f>
        <v>4243968909.090909</v>
      </c>
    </row>
    <row r="169" spans="1:3" x14ac:dyDescent="0.2">
      <c r="A169" s="111"/>
      <c r="B169" s="112"/>
      <c r="C169" s="113"/>
    </row>
    <row r="170" spans="1:3" x14ac:dyDescent="0.2">
      <c r="C170" s="3"/>
    </row>
    <row r="171" spans="1:3" x14ac:dyDescent="0.2">
      <c r="A171" s="155" t="s">
        <v>125</v>
      </c>
      <c r="B171" s="155"/>
      <c r="C171" s="155"/>
    </row>
    <row r="172" spans="1:3" x14ac:dyDescent="0.2">
      <c r="A172" s="155" t="s">
        <v>28</v>
      </c>
      <c r="B172" s="155"/>
      <c r="C172" s="66" t="s">
        <v>29</v>
      </c>
    </row>
    <row r="173" spans="1:3" x14ac:dyDescent="0.2">
      <c r="A173" s="101">
        <v>43842</v>
      </c>
      <c r="B173" s="85"/>
      <c r="C173" s="85">
        <v>175000000</v>
      </c>
    </row>
    <row r="174" spans="1:3" x14ac:dyDescent="0.2">
      <c r="A174" s="114" t="s">
        <v>163</v>
      </c>
      <c r="B174" s="70"/>
      <c r="C174" s="70">
        <f>SUM(C173)</f>
        <v>175000000</v>
      </c>
    </row>
    <row r="175" spans="1:3" x14ac:dyDescent="0.2">
      <c r="A175" s="76"/>
      <c r="B175" s="77"/>
      <c r="C175" s="77"/>
    </row>
    <row r="176" spans="1:3" x14ac:dyDescent="0.2">
      <c r="A176" s="76"/>
      <c r="B176" s="77"/>
      <c r="C176" s="77"/>
    </row>
    <row r="177" spans="1:3" x14ac:dyDescent="0.2">
      <c r="A177" s="155" t="s">
        <v>132</v>
      </c>
      <c r="B177" s="155"/>
      <c r="C177" s="155"/>
    </row>
    <row r="178" spans="1:3" x14ac:dyDescent="0.2">
      <c r="A178" s="155" t="s">
        <v>28</v>
      </c>
      <c r="B178" s="155"/>
      <c r="C178" s="66" t="s">
        <v>29</v>
      </c>
    </row>
    <row r="179" spans="1:3" x14ac:dyDescent="0.2">
      <c r="A179" s="101">
        <v>43911</v>
      </c>
      <c r="B179" s="85"/>
      <c r="C179" s="85">
        <v>12250000</v>
      </c>
    </row>
    <row r="180" spans="1:3" x14ac:dyDescent="0.2">
      <c r="A180" s="67"/>
      <c r="B180" s="57"/>
      <c r="C180" s="57"/>
    </row>
    <row r="181" spans="1:3" x14ac:dyDescent="0.2">
      <c r="C181" s="3"/>
    </row>
    <row r="182" spans="1:3" x14ac:dyDescent="0.2">
      <c r="C182" s="3"/>
    </row>
    <row r="183" spans="1:3" x14ac:dyDescent="0.2">
      <c r="A183" s="155" t="s">
        <v>135</v>
      </c>
      <c r="B183" s="155"/>
      <c r="C183" s="155"/>
    </row>
    <row r="184" spans="1:3" x14ac:dyDescent="0.2">
      <c r="A184" s="155" t="s">
        <v>28</v>
      </c>
      <c r="B184" s="155"/>
      <c r="C184" s="66" t="s">
        <v>29</v>
      </c>
    </row>
    <row r="185" spans="1:3" x14ac:dyDescent="0.2">
      <c r="A185" s="101">
        <v>43842</v>
      </c>
      <c r="B185" s="85"/>
      <c r="C185" s="85">
        <v>175000000</v>
      </c>
    </row>
    <row r="186" spans="1:3" x14ac:dyDescent="0.2">
      <c r="A186" s="67"/>
      <c r="B186" s="57"/>
      <c r="C186" s="57"/>
    </row>
    <row r="187" spans="1:3" x14ac:dyDescent="0.2">
      <c r="C187" s="3"/>
    </row>
    <row r="188" spans="1:3" x14ac:dyDescent="0.2">
      <c r="C188" s="3"/>
    </row>
    <row r="189" spans="1:3" x14ac:dyDescent="0.2">
      <c r="A189" s="155" t="s">
        <v>172</v>
      </c>
      <c r="B189" s="155"/>
      <c r="C189" s="155"/>
    </row>
    <row r="190" spans="1:3" x14ac:dyDescent="0.2">
      <c r="A190" s="155" t="s">
        <v>28</v>
      </c>
      <c r="B190" s="155"/>
      <c r="C190" s="66" t="s">
        <v>29</v>
      </c>
    </row>
    <row r="191" spans="1:3" x14ac:dyDescent="0.2">
      <c r="A191" s="101">
        <v>43842</v>
      </c>
      <c r="B191" s="85"/>
      <c r="C191" s="85">
        <v>63250000</v>
      </c>
    </row>
    <row r="192" spans="1:3" x14ac:dyDescent="0.2">
      <c r="A192" s="67"/>
      <c r="B192" s="57"/>
      <c r="C192" s="57"/>
    </row>
    <row r="193" spans="1:3" x14ac:dyDescent="0.2">
      <c r="C193" s="3"/>
    </row>
    <row r="194" spans="1:3" x14ac:dyDescent="0.2">
      <c r="C194" s="3"/>
    </row>
    <row r="195" spans="1:3" x14ac:dyDescent="0.2">
      <c r="A195" s="145" t="s">
        <v>130</v>
      </c>
      <c r="B195" s="145"/>
      <c r="C195" s="145"/>
    </row>
    <row r="196" spans="1:3" x14ac:dyDescent="0.2">
      <c r="A196" s="145" t="s">
        <v>28</v>
      </c>
      <c r="B196" s="145"/>
      <c r="C196" s="66" t="s">
        <v>29</v>
      </c>
    </row>
    <row r="197" spans="1:3" x14ac:dyDescent="0.2">
      <c r="A197" s="101">
        <v>43904</v>
      </c>
      <c r="B197" s="85"/>
      <c r="C197" s="85">
        <v>18450000</v>
      </c>
    </row>
    <row r="198" spans="1:3" x14ac:dyDescent="0.2">
      <c r="A198" s="67"/>
      <c r="B198" s="57"/>
      <c r="C198" s="57"/>
    </row>
    <row r="199" spans="1:3" x14ac:dyDescent="0.2">
      <c r="C199" s="3"/>
    </row>
    <row r="200" spans="1:3" x14ac:dyDescent="0.2">
      <c r="C200" s="3"/>
    </row>
    <row r="201" spans="1:3" x14ac:dyDescent="0.2">
      <c r="A201" s="145" t="s">
        <v>133</v>
      </c>
      <c r="B201" s="145"/>
      <c r="C201" s="145"/>
    </row>
    <row r="202" spans="1:3" x14ac:dyDescent="0.2">
      <c r="A202" s="145" t="s">
        <v>28</v>
      </c>
      <c r="B202" s="145"/>
      <c r="C202" s="66" t="s">
        <v>29</v>
      </c>
    </row>
    <row r="203" spans="1:3" x14ac:dyDescent="0.2">
      <c r="A203" s="101">
        <v>43904</v>
      </c>
      <c r="B203" s="85"/>
      <c r="C203" s="85">
        <v>18450000</v>
      </c>
    </row>
    <row r="204" spans="1:3" x14ac:dyDescent="0.2">
      <c r="A204" s="67"/>
      <c r="B204" s="57"/>
      <c r="C204" s="57"/>
    </row>
    <row r="205" spans="1:3" x14ac:dyDescent="0.2">
      <c r="C205" s="3"/>
    </row>
    <row r="206" spans="1:3" x14ac:dyDescent="0.2">
      <c r="C206" s="3"/>
    </row>
    <row r="207" spans="1:3" x14ac:dyDescent="0.2">
      <c r="A207" s="163" t="s">
        <v>18</v>
      </c>
      <c r="B207" s="164"/>
      <c r="C207" s="165"/>
    </row>
    <row r="208" spans="1:3" x14ac:dyDescent="0.2">
      <c r="A208" s="163" t="s">
        <v>28</v>
      </c>
      <c r="B208" s="165"/>
      <c r="C208" s="146" t="s">
        <v>29</v>
      </c>
    </row>
    <row r="209" spans="1:3" x14ac:dyDescent="0.2">
      <c r="A209" s="99">
        <f>A253</f>
        <v>43835</v>
      </c>
      <c r="B209" s="87">
        <v>363908500</v>
      </c>
      <c r="C209" s="95">
        <f>'JURNAL '!K5</f>
        <v>0</v>
      </c>
    </row>
    <row r="210" spans="1:3" x14ac:dyDescent="0.2">
      <c r="A210" s="99">
        <v>43888</v>
      </c>
      <c r="B210" s="87">
        <v>710000000</v>
      </c>
      <c r="C210" s="94"/>
    </row>
    <row r="211" spans="1:3" x14ac:dyDescent="0.2">
      <c r="A211" s="99">
        <v>43925</v>
      </c>
      <c r="B211" s="87">
        <v>836687500</v>
      </c>
      <c r="C211" s="94"/>
    </row>
    <row r="212" spans="1:3" x14ac:dyDescent="0.2">
      <c r="A212" s="99">
        <v>43936</v>
      </c>
      <c r="B212" s="87">
        <v>375000000</v>
      </c>
      <c r="C212" s="94"/>
    </row>
    <row r="213" spans="1:3" x14ac:dyDescent="0.2">
      <c r="A213" s="99" t="s">
        <v>110</v>
      </c>
      <c r="B213" s="87">
        <f>'SOAL PERTEMUAN 14'!D9</f>
        <v>0</v>
      </c>
      <c r="C213" s="94"/>
    </row>
    <row r="214" spans="1:3" x14ac:dyDescent="0.2">
      <c r="A214" s="99" t="s">
        <v>252</v>
      </c>
      <c r="B214" s="87">
        <f>'SOAL PERTEMUAN 14'!D31</f>
        <v>0</v>
      </c>
      <c r="C214" s="94"/>
    </row>
    <row r="215" spans="1:3" x14ac:dyDescent="0.2">
      <c r="A215" s="99"/>
      <c r="B215" s="87"/>
      <c r="C215" s="94"/>
    </row>
    <row r="216" spans="1:3" x14ac:dyDescent="0.2">
      <c r="A216" s="65" t="s">
        <v>163</v>
      </c>
      <c r="B216" s="64">
        <f>SUM(B209:B215)</f>
        <v>2285596000</v>
      </c>
      <c r="C216" s="65"/>
    </row>
    <row r="219" spans="1:3" x14ac:dyDescent="0.2">
      <c r="A219" s="155" t="s">
        <v>148</v>
      </c>
      <c r="B219" s="155"/>
      <c r="C219" s="155"/>
    </row>
    <row r="220" spans="1:3" x14ac:dyDescent="0.2">
      <c r="A220" s="155" t="s">
        <v>28</v>
      </c>
      <c r="B220" s="155"/>
      <c r="C220" s="75" t="s">
        <v>29</v>
      </c>
    </row>
    <row r="221" spans="1:3" x14ac:dyDescent="0.2">
      <c r="A221" s="101" t="s">
        <v>149</v>
      </c>
      <c r="B221" s="87">
        <v>1257575000</v>
      </c>
      <c r="C221" s="93"/>
    </row>
    <row r="222" spans="1:3" x14ac:dyDescent="0.2">
      <c r="A222" s="101" t="s">
        <v>150</v>
      </c>
      <c r="B222" s="85">
        <v>448000000</v>
      </c>
      <c r="C222" s="93"/>
    </row>
    <row r="223" spans="1:3" x14ac:dyDescent="0.2">
      <c r="A223" s="69"/>
      <c r="B223" s="70">
        <f>SUM(B221:B222)</f>
        <v>1705575000</v>
      </c>
      <c r="C223" s="69"/>
    </row>
    <row r="224" spans="1:3" x14ac:dyDescent="0.2">
      <c r="B224" s="37"/>
      <c r="C224" s="37"/>
    </row>
    <row r="226" spans="1:3" x14ac:dyDescent="0.2">
      <c r="A226" s="155" t="s">
        <v>156</v>
      </c>
      <c r="B226" s="155"/>
      <c r="C226" s="155"/>
    </row>
    <row r="227" spans="1:3" x14ac:dyDescent="0.2">
      <c r="A227" s="155" t="s">
        <v>28</v>
      </c>
      <c r="B227" s="155"/>
      <c r="C227" s="75" t="s">
        <v>29</v>
      </c>
    </row>
    <row r="228" spans="1:3" x14ac:dyDescent="0.2">
      <c r="A228" s="101" t="s">
        <v>155</v>
      </c>
      <c r="B228" s="87">
        <v>520750000</v>
      </c>
      <c r="C228" s="93"/>
    </row>
    <row r="229" spans="1:3" x14ac:dyDescent="0.2">
      <c r="A229" s="101" t="s">
        <v>157</v>
      </c>
      <c r="B229" s="85">
        <v>90000000</v>
      </c>
      <c r="C229" s="93"/>
    </row>
    <row r="230" spans="1:3" x14ac:dyDescent="0.2">
      <c r="A230" s="69"/>
      <c r="B230" s="70">
        <f>SUM(B228:B229)</f>
        <v>610750000</v>
      </c>
      <c r="C230" s="69"/>
    </row>
    <row r="232" spans="1:3" x14ac:dyDescent="0.2">
      <c r="A232" s="155" t="s">
        <v>160</v>
      </c>
      <c r="B232" s="155"/>
      <c r="C232" s="155"/>
    </row>
    <row r="233" spans="1:3" x14ac:dyDescent="0.2">
      <c r="A233" s="155" t="s">
        <v>28</v>
      </c>
      <c r="B233" s="155"/>
      <c r="C233" s="75" t="s">
        <v>29</v>
      </c>
    </row>
    <row r="234" spans="1:3" x14ac:dyDescent="0.2">
      <c r="A234" s="101" t="s">
        <v>161</v>
      </c>
      <c r="B234" s="87">
        <v>2298000000</v>
      </c>
      <c r="C234" s="93"/>
    </row>
    <row r="235" spans="1:3" x14ac:dyDescent="0.2">
      <c r="A235" s="101" t="s">
        <v>157</v>
      </c>
      <c r="B235" s="85">
        <v>90000000</v>
      </c>
      <c r="C235" s="93"/>
    </row>
    <row r="236" spans="1:3" x14ac:dyDescent="0.2">
      <c r="A236" s="69"/>
      <c r="B236" s="57">
        <f>SUM(B234:B235)</f>
        <v>2388000000</v>
      </c>
      <c r="C236" s="69"/>
    </row>
    <row r="239" spans="1:3" x14ac:dyDescent="0.2">
      <c r="A239" s="155" t="s">
        <v>129</v>
      </c>
      <c r="B239" s="155"/>
      <c r="C239" s="155"/>
    </row>
    <row r="240" spans="1:3" x14ac:dyDescent="0.2">
      <c r="A240" s="155" t="s">
        <v>28</v>
      </c>
      <c r="B240" s="155"/>
      <c r="C240" s="71" t="s">
        <v>128</v>
      </c>
    </row>
    <row r="241" spans="1:3" x14ac:dyDescent="0.2">
      <c r="A241" s="101">
        <v>43893</v>
      </c>
      <c r="B241" s="93">
        <v>175000000</v>
      </c>
      <c r="C241" s="93"/>
    </row>
    <row r="242" spans="1:3" x14ac:dyDescent="0.2">
      <c r="A242" s="67"/>
      <c r="B242" s="71">
        <f>SUM(B241)</f>
        <v>175000000</v>
      </c>
      <c r="C242" s="59"/>
    </row>
    <row r="245" spans="1:3" x14ac:dyDescent="0.2">
      <c r="A245" s="155" t="s">
        <v>266</v>
      </c>
      <c r="B245" s="155"/>
      <c r="C245" s="155"/>
    </row>
    <row r="246" spans="1:3" x14ac:dyDescent="0.2">
      <c r="A246" s="155" t="s">
        <v>28</v>
      </c>
      <c r="B246" s="155"/>
      <c r="C246" s="71" t="s">
        <v>128</v>
      </c>
    </row>
    <row r="247" spans="1:3" x14ac:dyDescent="0.2">
      <c r="A247" s="101" t="s">
        <v>245</v>
      </c>
      <c r="B247" s="93">
        <f>'SOAL PERTEMUAN 14'!D16</f>
        <v>0</v>
      </c>
      <c r="C247" s="93"/>
    </row>
    <row r="248" spans="1:3" x14ac:dyDescent="0.2">
      <c r="A248" s="67"/>
      <c r="B248" s="71">
        <f>SUM(B247)</f>
        <v>0</v>
      </c>
      <c r="C248" s="59"/>
    </row>
    <row r="251" spans="1:3" x14ac:dyDescent="0.2">
      <c r="A251" s="156" t="s">
        <v>118</v>
      </c>
      <c r="B251" s="156"/>
      <c r="C251" s="156"/>
    </row>
    <row r="252" spans="1:3" x14ac:dyDescent="0.2">
      <c r="A252" s="156" t="s">
        <v>28</v>
      </c>
      <c r="B252" s="156"/>
      <c r="C252" s="102" t="s">
        <v>29</v>
      </c>
    </row>
    <row r="253" spans="1:3" x14ac:dyDescent="0.2">
      <c r="A253" s="99">
        <f>A162</f>
        <v>43835</v>
      </c>
      <c r="B253" s="87"/>
      <c r="C253" s="87">
        <v>71551436.363636374</v>
      </c>
    </row>
    <row r="254" spans="1:3" x14ac:dyDescent="0.2">
      <c r="A254" s="99">
        <v>43842</v>
      </c>
      <c r="B254" s="87"/>
      <c r="C254" s="87">
        <v>17500000</v>
      </c>
    </row>
    <row r="255" spans="1:3" x14ac:dyDescent="0.2">
      <c r="A255" s="99">
        <v>43888</v>
      </c>
      <c r="B255" s="87"/>
      <c r="C255" s="87">
        <v>118484090.90909091</v>
      </c>
    </row>
    <row r="256" spans="1:3" x14ac:dyDescent="0.2">
      <c r="A256" s="99">
        <v>43925</v>
      </c>
      <c r="B256" s="87"/>
      <c r="C256" s="87">
        <v>149134090.909091</v>
      </c>
    </row>
    <row r="257" spans="1:3" x14ac:dyDescent="0.2">
      <c r="A257" s="99">
        <v>43936</v>
      </c>
      <c r="B257" s="87"/>
      <c r="C257" s="87">
        <v>85227272.727272734</v>
      </c>
    </row>
    <row r="258" spans="1:3" x14ac:dyDescent="0.2">
      <c r="A258" s="99">
        <v>43949</v>
      </c>
      <c r="B258" s="87"/>
      <c r="C258" s="87">
        <v>17500000</v>
      </c>
    </row>
    <row r="259" spans="1:3" x14ac:dyDescent="0.2">
      <c r="A259" s="99" t="s">
        <v>241</v>
      </c>
      <c r="B259" s="87"/>
      <c r="C259" s="87">
        <f>'SOAL PERTEMUAN 14'!E7</f>
        <v>0</v>
      </c>
    </row>
    <row r="260" spans="1:3" x14ac:dyDescent="0.2">
      <c r="A260" s="99" t="s">
        <v>252</v>
      </c>
      <c r="B260" s="87"/>
      <c r="C260" s="87"/>
    </row>
    <row r="261" spans="1:3" x14ac:dyDescent="0.2">
      <c r="A261" s="62"/>
      <c r="B261" s="58"/>
      <c r="C261" s="62"/>
    </row>
    <row r="262" spans="1:3" x14ac:dyDescent="0.2">
      <c r="C262" s="3"/>
    </row>
    <row r="263" spans="1:3" x14ac:dyDescent="0.2">
      <c r="C263" s="3"/>
    </row>
    <row r="264" spans="1:3" x14ac:dyDescent="0.2">
      <c r="A264" s="156" t="s">
        <v>120</v>
      </c>
      <c r="B264" s="156"/>
      <c r="C264" s="156"/>
    </row>
    <row r="265" spans="1:3" x14ac:dyDescent="0.2">
      <c r="A265" s="156" t="s">
        <v>28</v>
      </c>
      <c r="B265" s="156"/>
      <c r="C265" s="102" t="s">
        <v>29</v>
      </c>
    </row>
    <row r="266" spans="1:3" x14ac:dyDescent="0.2">
      <c r="A266" s="99">
        <v>43869</v>
      </c>
      <c r="B266" s="87">
        <v>15839000</v>
      </c>
      <c r="C266" s="87">
        <f>'JURNAL '!F15</f>
        <v>0</v>
      </c>
    </row>
    <row r="267" spans="1:3" x14ac:dyDescent="0.2">
      <c r="A267" s="99">
        <v>43876</v>
      </c>
      <c r="B267" s="87">
        <v>15000000</v>
      </c>
      <c r="C267" s="87"/>
    </row>
    <row r="268" spans="1:3" x14ac:dyDescent="0.2">
      <c r="A268" s="99">
        <v>43888</v>
      </c>
      <c r="B268" s="87">
        <v>118484090.90909091</v>
      </c>
      <c r="C268" s="87"/>
    </row>
    <row r="269" spans="1:3" x14ac:dyDescent="0.2">
      <c r="A269" s="99">
        <v>43893</v>
      </c>
      <c r="B269" s="87">
        <v>17500000</v>
      </c>
      <c r="C269" s="87"/>
    </row>
    <row r="270" spans="1:3" x14ac:dyDescent="0.2">
      <c r="A270" s="99">
        <v>43933</v>
      </c>
      <c r="B270" s="87">
        <v>18936477</v>
      </c>
      <c r="C270" s="87"/>
    </row>
    <row r="271" spans="1:3" x14ac:dyDescent="0.2">
      <c r="A271" s="94" t="s">
        <v>106</v>
      </c>
      <c r="B271" s="87">
        <v>8100000</v>
      </c>
      <c r="C271" s="87"/>
    </row>
    <row r="272" spans="1:3" x14ac:dyDescent="0.2">
      <c r="A272" s="94" t="s">
        <v>242</v>
      </c>
      <c r="B272" s="87">
        <f>'SOAL PERTEMUAN 14'!D13</f>
        <v>0</v>
      </c>
      <c r="C272" s="87"/>
    </row>
    <row r="273" spans="1:4" x14ac:dyDescent="0.2">
      <c r="A273" s="94" t="s">
        <v>245</v>
      </c>
      <c r="B273" s="87">
        <f>'SOAL PERTEMUAN 14'!D17</f>
        <v>0</v>
      </c>
      <c r="C273" s="87"/>
    </row>
    <row r="274" spans="1:4" x14ac:dyDescent="0.2">
      <c r="A274" s="94" t="s">
        <v>270</v>
      </c>
      <c r="B274" s="87">
        <f>'SOAL PERTEMUAN 14'!D23</f>
        <v>0</v>
      </c>
      <c r="C274" s="87"/>
    </row>
    <row r="275" spans="1:4" x14ac:dyDescent="0.2">
      <c r="A275" s="94" t="s">
        <v>254</v>
      </c>
      <c r="B275" s="87">
        <f>'SOAL PERTEMUAN 14'!D35</f>
        <v>0</v>
      </c>
      <c r="C275" s="87"/>
    </row>
    <row r="276" spans="1:4" x14ac:dyDescent="0.2">
      <c r="A276" s="94" t="s">
        <v>259</v>
      </c>
      <c r="B276" s="87"/>
      <c r="C276" s="87"/>
    </row>
    <row r="277" spans="1:4" x14ac:dyDescent="0.2">
      <c r="A277" s="94" t="s">
        <v>264</v>
      </c>
      <c r="B277" s="87">
        <f>'SOAL PERTEMUAN 14'!D53</f>
        <v>0</v>
      </c>
      <c r="C277" s="87"/>
    </row>
    <row r="278" spans="1:4" x14ac:dyDescent="0.2">
      <c r="A278" s="94" t="s">
        <v>107</v>
      </c>
      <c r="B278" s="87">
        <v>97369062.5</v>
      </c>
      <c r="C278" s="87"/>
    </row>
    <row r="279" spans="1:4" x14ac:dyDescent="0.2">
      <c r="A279" s="94" t="s">
        <v>111</v>
      </c>
      <c r="B279" s="87">
        <v>10300000</v>
      </c>
      <c r="C279" s="87"/>
    </row>
    <row r="280" spans="1:4" x14ac:dyDescent="0.2">
      <c r="A280" s="94" t="s">
        <v>112</v>
      </c>
      <c r="B280" s="87">
        <v>365384615</v>
      </c>
      <c r="C280" s="87"/>
    </row>
    <row r="281" spans="1:4" x14ac:dyDescent="0.2">
      <c r="A281" s="62"/>
      <c r="B281" s="58"/>
      <c r="C281" s="58"/>
    </row>
    <row r="282" spans="1:4" x14ac:dyDescent="0.2">
      <c r="C282" s="3"/>
    </row>
    <row r="283" spans="1:4" x14ac:dyDescent="0.2">
      <c r="C283" s="3"/>
    </row>
    <row r="284" spans="1:4" x14ac:dyDescent="0.2">
      <c r="A284" s="156" t="s">
        <v>124</v>
      </c>
      <c r="B284" s="156"/>
      <c r="C284" s="156"/>
    </row>
    <row r="285" spans="1:4" x14ac:dyDescent="0.2">
      <c r="A285" s="156" t="s">
        <v>28</v>
      </c>
      <c r="B285" s="156"/>
      <c r="C285" s="102" t="s">
        <v>29</v>
      </c>
      <c r="D285" s="38"/>
    </row>
    <row r="286" spans="1:4" x14ac:dyDescent="0.2">
      <c r="A286" s="99">
        <v>43842</v>
      </c>
      <c r="B286" s="87">
        <v>17500000</v>
      </c>
      <c r="C286" s="87">
        <f>'JURNAL '!F25</f>
        <v>0</v>
      </c>
      <c r="D286" s="38"/>
    </row>
    <row r="287" spans="1:4" x14ac:dyDescent="0.2">
      <c r="A287" s="99">
        <v>43904</v>
      </c>
      <c r="B287" s="87">
        <v>20500</v>
      </c>
      <c r="C287" s="87"/>
      <c r="D287" s="38"/>
    </row>
    <row r="288" spans="1:4" x14ac:dyDescent="0.2">
      <c r="A288" s="99">
        <v>43911</v>
      </c>
      <c r="B288" s="87">
        <v>31510000</v>
      </c>
      <c r="C288" s="87"/>
    </row>
    <row r="289" spans="1:3" x14ac:dyDescent="0.2">
      <c r="A289" s="99">
        <v>43920</v>
      </c>
      <c r="B289" s="87">
        <v>12100000</v>
      </c>
      <c r="C289" s="87"/>
    </row>
    <row r="290" spans="1:3" x14ac:dyDescent="0.2">
      <c r="A290" s="99">
        <v>43949</v>
      </c>
      <c r="B290" s="87">
        <v>17500000</v>
      </c>
      <c r="C290" s="87"/>
    </row>
    <row r="291" spans="1:3" x14ac:dyDescent="0.2">
      <c r="A291" s="94" t="s">
        <v>106</v>
      </c>
      <c r="B291" s="87"/>
      <c r="C291" s="87">
        <v>8100000</v>
      </c>
    </row>
    <row r="292" spans="1:3" x14ac:dyDescent="0.2">
      <c r="C292" s="3"/>
    </row>
    <row r="293" spans="1:3" x14ac:dyDescent="0.2">
      <c r="C293" s="3"/>
    </row>
    <row r="294" spans="1:3" x14ac:dyDescent="0.2">
      <c r="A294" s="156" t="s">
        <v>126</v>
      </c>
      <c r="B294" s="156"/>
      <c r="C294" s="156"/>
    </row>
    <row r="295" spans="1:3" x14ac:dyDescent="0.2">
      <c r="A295" s="146" t="s">
        <v>28</v>
      </c>
      <c r="B295" s="146"/>
      <c r="C295" s="102" t="s">
        <v>29</v>
      </c>
    </row>
    <row r="296" spans="1:3" x14ac:dyDescent="0.2">
      <c r="A296" s="99">
        <v>43888</v>
      </c>
      <c r="B296" s="87">
        <v>17772613.636363633</v>
      </c>
      <c r="C296" s="87"/>
    </row>
    <row r="297" spans="1:3" x14ac:dyDescent="0.2">
      <c r="A297" s="116"/>
      <c r="B297" s="58"/>
      <c r="C297" s="58"/>
    </row>
    <row r="298" spans="1:3" x14ac:dyDescent="0.2">
      <c r="C298" s="3"/>
    </row>
    <row r="299" spans="1:3" x14ac:dyDescent="0.2">
      <c r="C299" s="3"/>
    </row>
    <row r="300" spans="1:3" x14ac:dyDescent="0.2">
      <c r="C300" s="3"/>
    </row>
    <row r="301" spans="1:3" x14ac:dyDescent="0.2">
      <c r="A301" s="156" t="s">
        <v>127</v>
      </c>
      <c r="B301" s="156"/>
      <c r="C301" s="156"/>
    </row>
    <row r="302" spans="1:3" x14ac:dyDescent="0.2">
      <c r="A302" s="146" t="s">
        <v>28</v>
      </c>
      <c r="B302" s="146"/>
      <c r="C302" s="102" t="s">
        <v>29</v>
      </c>
    </row>
    <row r="303" spans="1:3" x14ac:dyDescent="0.2">
      <c r="A303" s="99">
        <v>43893</v>
      </c>
      <c r="B303" s="87"/>
      <c r="C303" s="87">
        <v>7875000</v>
      </c>
    </row>
    <row r="304" spans="1:3" x14ac:dyDescent="0.2">
      <c r="A304" s="99" t="s">
        <v>245</v>
      </c>
      <c r="B304" s="87"/>
      <c r="C304" s="87">
        <f>'SOAL PERTEMUAN 14'!E19</f>
        <v>0</v>
      </c>
    </row>
    <row r="305" spans="1:7" x14ac:dyDescent="0.2">
      <c r="A305" s="116"/>
      <c r="B305" s="58"/>
      <c r="C305" s="58"/>
    </row>
    <row r="306" spans="1:7" x14ac:dyDescent="0.2">
      <c r="A306" s="156" t="s">
        <v>145</v>
      </c>
      <c r="B306" s="156"/>
      <c r="C306" s="156"/>
    </row>
    <row r="307" spans="1:7" x14ac:dyDescent="0.2">
      <c r="A307" s="146" t="s">
        <v>28</v>
      </c>
      <c r="B307" s="146"/>
      <c r="C307" s="102" t="s">
        <v>29</v>
      </c>
    </row>
    <row r="308" spans="1:7" x14ac:dyDescent="0.2">
      <c r="A308" s="99" t="s">
        <v>113</v>
      </c>
      <c r="B308" s="87">
        <v>8250000</v>
      </c>
      <c r="C308" s="87"/>
    </row>
    <row r="309" spans="1:7" x14ac:dyDescent="0.2">
      <c r="A309" s="62"/>
      <c r="B309" s="58"/>
      <c r="C309" s="58"/>
    </row>
    <row r="310" spans="1:7" x14ac:dyDescent="0.2">
      <c r="A310" s="156" t="s">
        <v>154</v>
      </c>
      <c r="B310" s="156"/>
      <c r="C310" s="156"/>
    </row>
    <row r="311" spans="1:7" x14ac:dyDescent="0.2">
      <c r="A311" s="146" t="s">
        <v>28</v>
      </c>
      <c r="B311" s="146"/>
      <c r="C311" s="102" t="s">
        <v>29</v>
      </c>
    </row>
    <row r="312" spans="1:7" x14ac:dyDescent="0.2">
      <c r="A312" s="99" t="s">
        <v>109</v>
      </c>
      <c r="B312" s="87"/>
      <c r="C312" s="87">
        <v>78112500</v>
      </c>
    </row>
    <row r="313" spans="1:7" x14ac:dyDescent="0.2">
      <c r="A313" s="62"/>
      <c r="B313" s="58"/>
      <c r="C313" s="58"/>
    </row>
    <row r="314" spans="1:7" x14ac:dyDescent="0.2">
      <c r="A314" s="156" t="s">
        <v>158</v>
      </c>
      <c r="B314" s="156"/>
      <c r="C314" s="156"/>
    </row>
    <row r="315" spans="1:7" x14ac:dyDescent="0.2">
      <c r="A315" s="146" t="s">
        <v>28</v>
      </c>
      <c r="B315" s="146"/>
      <c r="C315" s="102" t="s">
        <v>29</v>
      </c>
    </row>
    <row r="316" spans="1:7" x14ac:dyDescent="0.2">
      <c r="A316" s="99" t="s">
        <v>157</v>
      </c>
      <c r="B316" s="87">
        <v>31500000</v>
      </c>
      <c r="C316" s="87"/>
      <c r="E316" s="76"/>
      <c r="F316" s="77"/>
      <c r="G316" s="77"/>
    </row>
    <row r="317" spans="1:7" x14ac:dyDescent="0.2">
      <c r="A317" s="62"/>
      <c r="B317" s="58"/>
      <c r="C317" s="58"/>
      <c r="E317"/>
      <c r="G317"/>
    </row>
    <row r="318" spans="1:7" x14ac:dyDescent="0.2">
      <c r="A318" s="156" t="s">
        <v>162</v>
      </c>
      <c r="B318" s="156"/>
      <c r="C318" s="156"/>
      <c r="E318"/>
    </row>
    <row r="319" spans="1:7" x14ac:dyDescent="0.2">
      <c r="A319" s="146" t="s">
        <v>28</v>
      </c>
      <c r="B319" s="146"/>
      <c r="C319" s="102" t="s">
        <v>29</v>
      </c>
      <c r="E319"/>
    </row>
    <row r="320" spans="1:7" x14ac:dyDescent="0.2">
      <c r="A320" s="99" t="s">
        <v>161</v>
      </c>
      <c r="B320" s="87"/>
      <c r="C320" s="87">
        <v>103410000</v>
      </c>
    </row>
    <row r="321" spans="1:3" x14ac:dyDescent="0.2">
      <c r="A321" s="38"/>
      <c r="B321" s="37"/>
      <c r="C321" s="37"/>
    </row>
    <row r="322" spans="1:3" x14ac:dyDescent="0.2">
      <c r="A322" s="156" t="s">
        <v>141</v>
      </c>
      <c r="B322" s="156"/>
      <c r="C322" s="156"/>
    </row>
    <row r="323" spans="1:3" x14ac:dyDescent="0.2">
      <c r="A323" s="146" t="s">
        <v>28</v>
      </c>
      <c r="B323" s="146"/>
      <c r="C323" s="102" t="s">
        <v>29</v>
      </c>
    </row>
    <row r="324" spans="1:3" x14ac:dyDescent="0.2">
      <c r="A324" s="99" t="s">
        <v>107</v>
      </c>
      <c r="B324" s="87">
        <v>24342265.625</v>
      </c>
      <c r="C324" s="87"/>
    </row>
    <row r="325" spans="1:3" x14ac:dyDescent="0.2">
      <c r="A325" s="122" t="s">
        <v>264</v>
      </c>
      <c r="B325" s="131">
        <f>'SOAL PERTEMUAN 14'!D54</f>
        <v>0</v>
      </c>
      <c r="C325" s="131"/>
    </row>
    <row r="326" spans="1:3" x14ac:dyDescent="0.2">
      <c r="A326" s="196"/>
      <c r="B326" s="198">
        <f>SUM(B324:B325)</f>
        <v>24342265.625</v>
      </c>
      <c r="C326" s="197"/>
    </row>
    <row r="327" spans="1:3" x14ac:dyDescent="0.2">
      <c r="C327" s="3"/>
    </row>
    <row r="328" spans="1:3" x14ac:dyDescent="0.2">
      <c r="A328" s="156" t="s">
        <v>142</v>
      </c>
      <c r="B328" s="156"/>
      <c r="C328" s="156"/>
    </row>
    <row r="329" spans="1:3" x14ac:dyDescent="0.2">
      <c r="A329" s="146" t="s">
        <v>28</v>
      </c>
      <c r="B329" s="146"/>
      <c r="C329" s="102" t="s">
        <v>29</v>
      </c>
    </row>
    <row r="330" spans="1:3" x14ac:dyDescent="0.2">
      <c r="A330" s="99" t="s">
        <v>111</v>
      </c>
      <c r="B330" s="87">
        <v>103000</v>
      </c>
      <c r="C330" s="87"/>
    </row>
    <row r="331" spans="1:3" x14ac:dyDescent="0.2">
      <c r="A331" s="116"/>
      <c r="B331" s="58"/>
      <c r="C331" s="58"/>
    </row>
    <row r="332" spans="1:3" x14ac:dyDescent="0.2">
      <c r="A332" s="76"/>
      <c r="B332" s="77"/>
      <c r="C332" s="77"/>
    </row>
    <row r="333" spans="1:3" x14ac:dyDescent="0.2">
      <c r="A333" s="76"/>
      <c r="B333" s="77"/>
      <c r="C333" s="77"/>
    </row>
    <row r="334" spans="1:3" x14ac:dyDescent="0.2">
      <c r="A334" s="156" t="s">
        <v>144</v>
      </c>
      <c r="B334" s="156"/>
      <c r="C334" s="156"/>
    </row>
    <row r="335" spans="1:3" x14ac:dyDescent="0.2">
      <c r="A335" s="146" t="s">
        <v>28</v>
      </c>
      <c r="B335" s="146"/>
      <c r="C335" s="102" t="s">
        <v>29</v>
      </c>
    </row>
    <row r="336" spans="1:3" x14ac:dyDescent="0.2">
      <c r="A336" s="99" t="s">
        <v>112</v>
      </c>
      <c r="B336" s="93">
        <v>16442308</v>
      </c>
      <c r="C336" s="87"/>
    </row>
    <row r="337" spans="1:3" x14ac:dyDescent="0.2">
      <c r="A337" s="116"/>
      <c r="B337" s="58"/>
      <c r="C337" s="58"/>
    </row>
    <row r="338" spans="1:3" x14ac:dyDescent="0.2">
      <c r="A338" s="38"/>
      <c r="B338" s="37"/>
      <c r="C338" s="37"/>
    </row>
    <row r="339" spans="1:3" x14ac:dyDescent="0.2">
      <c r="A339" s="156" t="s">
        <v>152</v>
      </c>
      <c r="B339" s="156"/>
      <c r="C339" s="156"/>
    </row>
    <row r="340" spans="1:3" x14ac:dyDescent="0.2">
      <c r="A340" s="146" t="s">
        <v>28</v>
      </c>
      <c r="B340" s="146"/>
      <c r="C340" s="102" t="s">
        <v>29</v>
      </c>
    </row>
    <row r="341" spans="1:3" x14ac:dyDescent="0.2">
      <c r="A341" s="99" t="s">
        <v>149</v>
      </c>
      <c r="B341" s="93">
        <v>62878750</v>
      </c>
      <c r="C341" s="87"/>
    </row>
    <row r="342" spans="1:3" x14ac:dyDescent="0.2">
      <c r="A342" s="116"/>
      <c r="B342" s="58"/>
      <c r="C342" s="58"/>
    </row>
    <row r="343" spans="1:3" x14ac:dyDescent="0.2">
      <c r="A343" s="38"/>
      <c r="B343" s="37"/>
      <c r="C343" s="37"/>
    </row>
    <row r="344" spans="1:3" x14ac:dyDescent="0.2">
      <c r="C344" s="3"/>
    </row>
    <row r="345" spans="1:3" x14ac:dyDescent="0.2">
      <c r="A345" s="156" t="s">
        <v>153</v>
      </c>
      <c r="B345" s="156"/>
      <c r="C345" s="156"/>
    </row>
    <row r="346" spans="1:3" x14ac:dyDescent="0.2">
      <c r="A346" s="146" t="s">
        <v>28</v>
      </c>
      <c r="B346" s="146"/>
      <c r="C346" s="102" t="s">
        <v>29</v>
      </c>
    </row>
    <row r="347" spans="1:3" x14ac:dyDescent="0.2">
      <c r="A347" s="99" t="s">
        <v>149</v>
      </c>
      <c r="B347" s="93">
        <v>112000000</v>
      </c>
      <c r="C347" s="87"/>
    </row>
    <row r="348" spans="1:3" x14ac:dyDescent="0.2">
      <c r="A348" s="116"/>
      <c r="B348" s="58"/>
      <c r="C348" s="58"/>
    </row>
  </sheetData>
  <mergeCells count="71">
    <mergeCell ref="A345:C345"/>
    <mergeCell ref="A114:C114"/>
    <mergeCell ref="A115:B115"/>
    <mergeCell ref="A245:C245"/>
    <mergeCell ref="A246:B246"/>
    <mergeCell ref="A121:C121"/>
    <mergeCell ref="A122:B122"/>
    <mergeCell ref="A334:C334"/>
    <mergeCell ref="A92:C92"/>
    <mergeCell ref="A93:B93"/>
    <mergeCell ref="A339:C339"/>
    <mergeCell ref="A106:C106"/>
    <mergeCell ref="A107:B107"/>
    <mergeCell ref="A99:C99"/>
    <mergeCell ref="A100:B100"/>
    <mergeCell ref="A78:C78"/>
    <mergeCell ref="A79:B79"/>
    <mergeCell ref="A322:C322"/>
    <mergeCell ref="A328:C328"/>
    <mergeCell ref="A85:C85"/>
    <mergeCell ref="A86:B86"/>
    <mergeCell ref="A306:C306"/>
    <mergeCell ref="A310:C310"/>
    <mergeCell ref="A71:C71"/>
    <mergeCell ref="A314:C314"/>
    <mergeCell ref="A72:B72"/>
    <mergeCell ref="A318:C318"/>
    <mergeCell ref="A294:C294"/>
    <mergeCell ref="A48:C48"/>
    <mergeCell ref="A49:B49"/>
    <mergeCell ref="A301:C301"/>
    <mergeCell ref="A239:C239"/>
    <mergeCell ref="A40:C40"/>
    <mergeCell ref="A240:B240"/>
    <mergeCell ref="A41:B41"/>
    <mergeCell ref="A233:B233"/>
    <mergeCell ref="A284:C284"/>
    <mergeCell ref="A285:B285"/>
    <mergeCell ref="A154:C154"/>
    <mergeCell ref="A189:C189"/>
    <mergeCell ref="A155:B155"/>
    <mergeCell ref="A190:B190"/>
    <mergeCell ref="A227:B227"/>
    <mergeCell ref="A148:C148"/>
    <mergeCell ref="A183:C183"/>
    <mergeCell ref="A149:B149"/>
    <mergeCell ref="A184:B184"/>
    <mergeCell ref="A232:C232"/>
    <mergeCell ref="A264:C264"/>
    <mergeCell ref="A265:B265"/>
    <mergeCell ref="A142:C142"/>
    <mergeCell ref="A177:C177"/>
    <mergeCell ref="A143:B143"/>
    <mergeCell ref="A178:B178"/>
    <mergeCell ref="A226:C226"/>
    <mergeCell ref="A136:C136"/>
    <mergeCell ref="A171:C171"/>
    <mergeCell ref="A219:C219"/>
    <mergeCell ref="A137:B137"/>
    <mergeCell ref="A172:B172"/>
    <mergeCell ref="A220:B220"/>
    <mergeCell ref="A3:C3"/>
    <mergeCell ref="A127:C127"/>
    <mergeCell ref="A160:C160"/>
    <mergeCell ref="A207:C207"/>
    <mergeCell ref="A251:C251"/>
    <mergeCell ref="A4:B4"/>
    <mergeCell ref="A128:B128"/>
    <mergeCell ref="A161:B161"/>
    <mergeCell ref="A208:B208"/>
    <mergeCell ref="A252:B25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F6417-716B-CE47-B1C8-382A66B00226}">
  <sheetPr>
    <tabColor rgb="FFFFC000"/>
  </sheetPr>
  <dimension ref="A2:G44"/>
  <sheetViews>
    <sheetView topLeftCell="A29" zoomScale="114" workbookViewId="0">
      <selection activeCell="E50" sqref="E50"/>
    </sheetView>
  </sheetViews>
  <sheetFormatPr baseColWidth="10" defaultRowHeight="16" x14ac:dyDescent="0.2"/>
  <cols>
    <col min="1" max="1" width="9" style="9" customWidth="1"/>
    <col min="2" max="2" width="44.6640625" customWidth="1"/>
    <col min="3" max="3" width="27.33203125" customWidth="1"/>
    <col min="4" max="4" width="16.33203125" style="3" customWidth="1"/>
    <col min="5" max="5" width="16.5" style="3" customWidth="1"/>
    <col min="6" max="6" width="14.83203125" style="3" customWidth="1"/>
    <col min="7" max="7" width="19.1640625" style="3" customWidth="1"/>
  </cols>
  <sheetData>
    <row r="2" spans="1:7" ht="19" x14ac:dyDescent="0.25">
      <c r="A2" s="167" t="s">
        <v>239</v>
      </c>
      <c r="B2" s="167"/>
      <c r="C2" s="13"/>
      <c r="D2" s="14"/>
      <c r="E2" s="14"/>
    </row>
    <row r="4" spans="1:7" s="6" customFormat="1" x14ac:dyDescent="0.2">
      <c r="B4" s="6" t="s">
        <v>20</v>
      </c>
      <c r="C4" s="6" t="s">
        <v>27</v>
      </c>
      <c r="D4" s="5" t="s">
        <v>28</v>
      </c>
      <c r="E4" s="5" t="s">
        <v>29</v>
      </c>
      <c r="F4" s="5"/>
      <c r="G4" s="5"/>
    </row>
    <row r="5" spans="1:7" ht="16" customHeight="1" x14ac:dyDescent="0.2">
      <c r="A5" s="166">
        <v>1</v>
      </c>
      <c r="B5" s="168" t="s">
        <v>194</v>
      </c>
      <c r="C5" s="13" t="s">
        <v>195</v>
      </c>
      <c r="D5" s="14"/>
      <c r="E5" s="14"/>
    </row>
    <row r="6" spans="1:7" x14ac:dyDescent="0.2">
      <c r="A6" s="166"/>
      <c r="B6" s="168"/>
      <c r="C6" s="13" t="s">
        <v>196</v>
      </c>
      <c r="D6" s="14"/>
      <c r="E6" s="14">
        <f>D5</f>
        <v>0</v>
      </c>
    </row>
    <row r="7" spans="1:7" s="38" customFormat="1" x14ac:dyDescent="0.2">
      <c r="A7" s="128"/>
      <c r="B7" s="129"/>
      <c r="D7" s="37"/>
      <c r="E7" s="37"/>
      <c r="F7" s="37"/>
      <c r="G7" s="37"/>
    </row>
    <row r="8" spans="1:7" ht="17" customHeight="1" x14ac:dyDescent="0.2">
      <c r="A8" s="166">
        <v>2</v>
      </c>
      <c r="B8" s="154" t="s">
        <v>202</v>
      </c>
      <c r="C8" s="13" t="s">
        <v>196</v>
      </c>
      <c r="D8" s="14"/>
      <c r="E8" s="14"/>
    </row>
    <row r="9" spans="1:7" x14ac:dyDescent="0.2">
      <c r="A9" s="166"/>
      <c r="B9" s="154"/>
      <c r="C9" s="13" t="s">
        <v>16</v>
      </c>
      <c r="D9" s="14"/>
      <c r="E9" s="14">
        <f>D8</f>
        <v>0</v>
      </c>
    </row>
    <row r="10" spans="1:7" x14ac:dyDescent="0.2">
      <c r="A10" s="166"/>
      <c r="B10" s="154"/>
      <c r="C10" s="13"/>
      <c r="D10" s="14"/>
      <c r="E10" s="14"/>
    </row>
    <row r="11" spans="1:7" x14ac:dyDescent="0.2">
      <c r="A11" s="166"/>
      <c r="B11" s="154"/>
      <c r="C11" s="13" t="s">
        <v>18</v>
      </c>
      <c r="D11" s="14">
        <f>25%*D8</f>
        <v>0</v>
      </c>
      <c r="E11" s="14"/>
    </row>
    <row r="12" spans="1:7" x14ac:dyDescent="0.2">
      <c r="A12" s="166"/>
      <c r="B12" s="154"/>
      <c r="C12" s="13" t="s">
        <v>19</v>
      </c>
      <c r="D12" s="14"/>
      <c r="E12" s="14">
        <f>D11</f>
        <v>0</v>
      </c>
    </row>
    <row r="14" spans="1:7" ht="51" x14ac:dyDescent="0.2">
      <c r="A14" s="147">
        <v>3</v>
      </c>
      <c r="B14" s="132" t="s">
        <v>203</v>
      </c>
      <c r="C14" s="169"/>
      <c r="D14" s="169"/>
      <c r="E14" s="169"/>
    </row>
    <row r="16" spans="1:7" ht="16" customHeight="1" x14ac:dyDescent="0.2">
      <c r="A16" s="166">
        <v>4</v>
      </c>
      <c r="B16" s="154" t="s">
        <v>207</v>
      </c>
      <c r="C16" s="170"/>
      <c r="D16" s="170"/>
      <c r="E16" s="170"/>
    </row>
    <row r="17" spans="1:7" x14ac:dyDescent="0.2">
      <c r="A17" s="166"/>
      <c r="B17" s="154"/>
      <c r="C17" s="170"/>
      <c r="D17" s="170"/>
      <c r="E17" s="170"/>
    </row>
    <row r="18" spans="1:7" x14ac:dyDescent="0.2">
      <c r="A18" s="166"/>
      <c r="B18" s="154"/>
      <c r="C18" s="170"/>
      <c r="D18" s="170"/>
      <c r="E18" s="170"/>
    </row>
    <row r="20" spans="1:7" ht="20" customHeight="1" x14ac:dyDescent="0.2">
      <c r="A20" s="166">
        <v>5</v>
      </c>
      <c r="B20" s="154" t="s">
        <v>208</v>
      </c>
      <c r="C20" s="170"/>
      <c r="D20" s="170"/>
      <c r="E20" s="170"/>
    </row>
    <row r="21" spans="1:7" x14ac:dyDescent="0.2">
      <c r="A21" s="166"/>
      <c r="B21" s="154"/>
      <c r="C21" s="170"/>
      <c r="D21" s="170"/>
      <c r="E21" s="170"/>
    </row>
    <row r="22" spans="1:7" x14ac:dyDescent="0.2">
      <c r="A22" s="166"/>
      <c r="B22" s="154"/>
      <c r="C22" s="170"/>
      <c r="D22" s="170"/>
      <c r="E22" s="170"/>
    </row>
    <row r="24" spans="1:7" ht="17" customHeight="1" x14ac:dyDescent="0.2">
      <c r="A24" s="166">
        <v>6</v>
      </c>
      <c r="B24" s="154" t="s">
        <v>211</v>
      </c>
      <c r="C24" s="133" t="s">
        <v>21</v>
      </c>
      <c r="D24" s="14"/>
      <c r="E24" s="14"/>
    </row>
    <row r="25" spans="1:7" x14ac:dyDescent="0.2">
      <c r="A25" s="166"/>
      <c r="B25" s="154"/>
      <c r="C25" s="134" t="s">
        <v>23</v>
      </c>
      <c r="D25" s="14"/>
      <c r="E25" s="14"/>
    </row>
    <row r="26" spans="1:7" x14ac:dyDescent="0.2">
      <c r="A26" s="166"/>
      <c r="B26" s="154"/>
      <c r="C26" s="134" t="s">
        <v>16</v>
      </c>
      <c r="D26" s="14"/>
      <c r="E26" s="14"/>
    </row>
    <row r="27" spans="1:7" x14ac:dyDescent="0.2">
      <c r="A27" s="166"/>
      <c r="B27" s="154"/>
      <c r="C27" s="13"/>
      <c r="D27" s="14"/>
      <c r="E27" s="14"/>
    </row>
    <row r="28" spans="1:7" x14ac:dyDescent="0.2">
      <c r="A28" s="166"/>
      <c r="B28" s="154"/>
      <c r="C28" s="13" t="s">
        <v>18</v>
      </c>
      <c r="D28" s="14"/>
      <c r="E28" s="14"/>
    </row>
    <row r="29" spans="1:7" x14ac:dyDescent="0.2">
      <c r="A29" s="166"/>
      <c r="B29" s="154"/>
      <c r="C29" s="13" t="s">
        <v>19</v>
      </c>
      <c r="D29" s="14"/>
      <c r="E29" s="14"/>
    </row>
    <row r="31" spans="1:7" ht="16" customHeight="1" x14ac:dyDescent="0.2">
      <c r="A31" s="166">
        <v>7</v>
      </c>
      <c r="B31" s="154" t="s">
        <v>217</v>
      </c>
      <c r="C31" s="13" t="s">
        <v>21</v>
      </c>
      <c r="D31" s="14"/>
      <c r="E31" s="14"/>
    </row>
    <row r="32" spans="1:7" ht="16" customHeight="1" x14ac:dyDescent="0.2">
      <c r="A32" s="166"/>
      <c r="B32" s="154"/>
      <c r="C32" s="13" t="s">
        <v>219</v>
      </c>
      <c r="D32" s="14"/>
      <c r="E32" s="14"/>
      <c r="F32" s="3" t="e">
        <f>+E33/'LAPORAN FISKAL'!I44*'LAPORAN FISKAL'!E47</f>
        <v>#DIV/0!</v>
      </c>
      <c r="G32" s="3">
        <f>+E33*25%</f>
        <v>0</v>
      </c>
    </row>
    <row r="33" spans="1:7" x14ac:dyDescent="0.2">
      <c r="A33" s="166"/>
      <c r="B33" s="154"/>
      <c r="C33" s="13" t="s">
        <v>218</v>
      </c>
      <c r="D33" s="14"/>
      <c r="E33" s="14"/>
    </row>
    <row r="34" spans="1:7" x14ac:dyDescent="0.2">
      <c r="D34" s="37"/>
      <c r="E34" s="37"/>
    </row>
    <row r="35" spans="1:7" ht="16" customHeight="1" x14ac:dyDescent="0.2">
      <c r="A35" s="166">
        <v>8</v>
      </c>
      <c r="B35" s="154" t="s">
        <v>221</v>
      </c>
      <c r="C35" s="13" t="s">
        <v>21</v>
      </c>
      <c r="D35" s="14"/>
      <c r="E35" s="14"/>
    </row>
    <row r="36" spans="1:7" x14ac:dyDescent="0.2">
      <c r="A36" s="166"/>
      <c r="B36" s="154"/>
      <c r="C36" s="13" t="s">
        <v>219</v>
      </c>
      <c r="D36" s="14"/>
      <c r="E36" s="14"/>
      <c r="F36" s="3" t="e">
        <f>+E37/'LAPORAN FISKAL'!I44*'LAPORAN FISKAL'!E47</f>
        <v>#DIV/0!</v>
      </c>
      <c r="G36" s="3">
        <f>27%*E37</f>
        <v>0</v>
      </c>
    </row>
    <row r="37" spans="1:7" x14ac:dyDescent="0.2">
      <c r="A37" s="166"/>
      <c r="B37" s="154"/>
      <c r="C37" s="13" t="s">
        <v>218</v>
      </c>
      <c r="D37" s="14"/>
      <c r="E37" s="14"/>
    </row>
    <row r="40" spans="1:7" ht="17" customHeight="1" x14ac:dyDescent="0.2">
      <c r="A40" s="166">
        <v>9</v>
      </c>
      <c r="B40" s="154" t="s">
        <v>235</v>
      </c>
      <c r="C40" s="13" t="s">
        <v>236</v>
      </c>
      <c r="D40" s="14"/>
      <c r="E40" s="14"/>
    </row>
    <row r="41" spans="1:7" x14ac:dyDescent="0.2">
      <c r="A41" s="166"/>
      <c r="B41" s="154"/>
      <c r="C41" s="13" t="s">
        <v>21</v>
      </c>
      <c r="D41" s="14"/>
      <c r="E41" s="14">
        <f>D40</f>
        <v>0</v>
      </c>
    </row>
    <row r="43" spans="1:7" ht="18" customHeight="1" x14ac:dyDescent="0.2">
      <c r="A43" s="166">
        <v>10</v>
      </c>
      <c r="B43" s="154" t="s">
        <v>237</v>
      </c>
      <c r="C43" s="13" t="s">
        <v>238</v>
      </c>
      <c r="D43" s="14"/>
      <c r="E43" s="14"/>
    </row>
    <row r="44" spans="1:7" x14ac:dyDescent="0.2">
      <c r="A44" s="166"/>
      <c r="B44" s="154"/>
      <c r="C44" s="13" t="s">
        <v>21</v>
      </c>
      <c r="D44" s="14"/>
      <c r="E44" s="14">
        <f>D43</f>
        <v>0</v>
      </c>
    </row>
  </sheetData>
  <mergeCells count="26">
    <mergeCell ref="A40:A41"/>
    <mergeCell ref="B40:B41"/>
    <mergeCell ref="A43:A44"/>
    <mergeCell ref="B43:B44"/>
    <mergeCell ref="A24:A29"/>
    <mergeCell ref="B24:B29"/>
    <mergeCell ref="A31:A33"/>
    <mergeCell ref="B31:B33"/>
    <mergeCell ref="A35:A37"/>
    <mergeCell ref="B35:B37"/>
    <mergeCell ref="A16:A18"/>
    <mergeCell ref="B16:B18"/>
    <mergeCell ref="C16:E16"/>
    <mergeCell ref="C17:E17"/>
    <mergeCell ref="C18:E18"/>
    <mergeCell ref="A20:A22"/>
    <mergeCell ref="B20:B22"/>
    <mergeCell ref="C20:E20"/>
    <mergeCell ref="C21:E21"/>
    <mergeCell ref="C22:E22"/>
    <mergeCell ref="A2:B2"/>
    <mergeCell ref="A5:A6"/>
    <mergeCell ref="B5:B6"/>
    <mergeCell ref="A8:A12"/>
    <mergeCell ref="B8:B12"/>
    <mergeCell ref="C14:E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C42D0-B402-064C-97BB-20D9F87CDE4A}">
  <sheetPr>
    <tabColor rgb="FFFFC000"/>
  </sheetPr>
  <dimension ref="A1:I58"/>
  <sheetViews>
    <sheetView tabSelected="1" zoomScale="99" workbookViewId="0">
      <selection activeCell="K18" sqref="K18"/>
    </sheetView>
  </sheetViews>
  <sheetFormatPr baseColWidth="10" defaultRowHeight="16" x14ac:dyDescent="0.2"/>
  <cols>
    <col min="1" max="1" width="4.5" customWidth="1"/>
    <col min="2" max="2" width="4.83203125" customWidth="1"/>
    <col min="3" max="3" width="27.33203125" customWidth="1"/>
    <col min="4" max="4" width="20" style="3" customWidth="1"/>
    <col min="5" max="5" width="15.33203125" style="9" customWidth="1"/>
    <col min="6" max="6" width="16.1640625" style="3" customWidth="1"/>
    <col min="7" max="8" width="15" style="3" customWidth="1"/>
    <col min="9" max="9" width="16.6640625" style="3" customWidth="1"/>
  </cols>
  <sheetData>
    <row r="1" spans="1:9" x14ac:dyDescent="0.2">
      <c r="A1" t="s">
        <v>192</v>
      </c>
    </row>
    <row r="3" spans="1:9" x14ac:dyDescent="0.2">
      <c r="B3" s="127"/>
      <c r="C3" s="127"/>
      <c r="D3" s="172" t="s">
        <v>200</v>
      </c>
      <c r="E3" s="173"/>
      <c r="F3" s="171" t="s">
        <v>199</v>
      </c>
      <c r="G3" s="171"/>
      <c r="H3" s="176" t="s">
        <v>201</v>
      </c>
      <c r="I3" s="177"/>
    </row>
    <row r="4" spans="1:9" x14ac:dyDescent="0.2">
      <c r="B4" s="127"/>
      <c r="C4" s="127"/>
      <c r="D4" s="174"/>
      <c r="E4" s="175"/>
      <c r="F4" s="130" t="s">
        <v>197</v>
      </c>
      <c r="G4" s="130" t="s">
        <v>198</v>
      </c>
      <c r="H4" s="178"/>
      <c r="I4" s="179"/>
    </row>
    <row r="5" spans="1:9" x14ac:dyDescent="0.2">
      <c r="B5" s="136" t="s">
        <v>117</v>
      </c>
      <c r="C5" s="122"/>
      <c r="D5" s="131"/>
      <c r="E5" s="123">
        <f>'BUKU BESAR (2)'!C168</f>
        <v>4243968909.090909</v>
      </c>
      <c r="F5" s="131">
        <f>'INFORMASI TAMBAHAN'!E9</f>
        <v>0</v>
      </c>
      <c r="G5" s="131"/>
      <c r="H5" s="131"/>
      <c r="I5" s="131"/>
    </row>
    <row r="6" spans="1:9" x14ac:dyDescent="0.2">
      <c r="B6" s="122"/>
      <c r="C6" s="122"/>
      <c r="D6" s="131"/>
      <c r="E6" s="123"/>
      <c r="F6" s="131">
        <f>'INFORMASI TAMBAHAN'!E26</f>
        <v>0</v>
      </c>
      <c r="G6" s="131"/>
      <c r="H6" s="131">
        <f>F6</f>
        <v>0</v>
      </c>
      <c r="I6" s="131"/>
    </row>
    <row r="7" spans="1:9" x14ac:dyDescent="0.2">
      <c r="B7" s="122"/>
      <c r="C7" s="122"/>
      <c r="D7" s="131"/>
      <c r="E7" s="123"/>
      <c r="F7" s="131"/>
      <c r="G7" s="131"/>
      <c r="H7" s="131"/>
      <c r="I7" s="135">
        <f>+H5+H6</f>
        <v>0</v>
      </c>
    </row>
    <row r="8" spans="1:9" ht="19" x14ac:dyDescent="0.35">
      <c r="B8" s="136" t="s">
        <v>18</v>
      </c>
      <c r="C8" s="122"/>
      <c r="D8" s="131"/>
      <c r="E8" s="124">
        <f>'BUKU BESAR (2)'!B216</f>
        <v>2285596000</v>
      </c>
      <c r="F8" s="131"/>
      <c r="G8" s="131">
        <f>'INFORMASI TAMBAHAN'!D11</f>
        <v>0</v>
      </c>
      <c r="H8" s="131"/>
      <c r="I8" s="131"/>
    </row>
    <row r="9" spans="1:9" ht="19" x14ac:dyDescent="0.35">
      <c r="B9" s="122"/>
      <c r="C9" s="122"/>
      <c r="D9" s="131"/>
      <c r="E9" s="124"/>
      <c r="F9" s="131"/>
      <c r="G9" s="131"/>
      <c r="H9" s="131"/>
      <c r="I9" s="131"/>
    </row>
    <row r="10" spans="1:9" ht="19" x14ac:dyDescent="0.35">
      <c r="B10" s="122"/>
      <c r="C10" s="122"/>
      <c r="D10" s="131"/>
      <c r="E10" s="124"/>
      <c r="F10" s="131"/>
      <c r="G10" s="131"/>
      <c r="H10" s="131"/>
      <c r="I10" s="135">
        <f>+H8+H9</f>
        <v>0</v>
      </c>
    </row>
    <row r="11" spans="1:9" x14ac:dyDescent="0.2">
      <c r="B11" s="182" t="s">
        <v>175</v>
      </c>
      <c r="C11" s="182"/>
      <c r="D11" s="131"/>
      <c r="E11" s="123">
        <f>+E5-E8</f>
        <v>1958372909.090909</v>
      </c>
      <c r="F11" s="131"/>
      <c r="G11" s="131"/>
      <c r="H11" s="131"/>
      <c r="I11" s="135">
        <f>+I7-I10</f>
        <v>0</v>
      </c>
    </row>
    <row r="12" spans="1:9" x14ac:dyDescent="0.2">
      <c r="B12" s="182" t="s">
        <v>174</v>
      </c>
      <c r="C12" s="182"/>
      <c r="D12" s="131"/>
      <c r="E12" s="121"/>
      <c r="F12" s="131"/>
      <c r="G12" s="131"/>
      <c r="H12" s="131"/>
      <c r="I12" s="131"/>
    </row>
    <row r="13" spans="1:9" x14ac:dyDescent="0.2">
      <c r="B13" s="183" t="s">
        <v>176</v>
      </c>
      <c r="C13" s="183"/>
      <c r="D13" s="131">
        <f>'BUKU BESAR'!N16</f>
        <v>1705575000</v>
      </c>
      <c r="E13" s="121"/>
      <c r="F13" s="131"/>
      <c r="G13" s="131"/>
      <c r="H13" s="131"/>
      <c r="I13" s="131"/>
    </row>
    <row r="14" spans="1:9" x14ac:dyDescent="0.2">
      <c r="B14" s="125" t="s">
        <v>177</v>
      </c>
      <c r="C14" s="125"/>
      <c r="D14" s="131">
        <f>'BUKU BESAR'!N23</f>
        <v>610750000</v>
      </c>
      <c r="E14" s="121"/>
      <c r="F14" s="131"/>
      <c r="G14" s="131"/>
      <c r="H14" s="131"/>
      <c r="I14" s="131"/>
    </row>
    <row r="15" spans="1:9" x14ac:dyDescent="0.2">
      <c r="B15" s="183" t="s">
        <v>178</v>
      </c>
      <c r="C15" s="183"/>
      <c r="D15" s="131">
        <f>'BUKU BESAR'!N29</f>
        <v>2388000000</v>
      </c>
      <c r="E15" s="121"/>
      <c r="F15" s="131"/>
      <c r="G15" s="131"/>
      <c r="H15" s="131"/>
      <c r="I15" s="131"/>
    </row>
    <row r="16" spans="1:9" x14ac:dyDescent="0.2">
      <c r="B16" s="183" t="s">
        <v>179</v>
      </c>
      <c r="C16" s="183"/>
      <c r="D16" s="131">
        <f>'BUKU BESAR'!N35</f>
        <v>175000000</v>
      </c>
      <c r="E16" s="121"/>
      <c r="F16" s="131"/>
      <c r="G16" s="131"/>
      <c r="H16" s="131"/>
      <c r="I16" s="131"/>
    </row>
    <row r="17" spans="2:9" x14ac:dyDescent="0.2">
      <c r="B17" s="125" t="s">
        <v>204</v>
      </c>
      <c r="C17" s="125"/>
      <c r="D17" s="131">
        <f>'JURNAL '!E74*8/12</f>
        <v>54000000</v>
      </c>
      <c r="E17" s="121"/>
      <c r="F17" s="131"/>
      <c r="G17" s="131"/>
      <c r="H17" s="131"/>
      <c r="I17" s="131"/>
    </row>
    <row r="18" spans="2:9" x14ac:dyDescent="0.2">
      <c r="B18" s="183" t="s">
        <v>180</v>
      </c>
      <c r="C18" s="183"/>
      <c r="D18" s="131"/>
      <c r="E18" s="121"/>
      <c r="F18" s="131"/>
      <c r="G18" s="131"/>
      <c r="H18" s="131"/>
      <c r="I18" s="131"/>
    </row>
    <row r="19" spans="2:9" x14ac:dyDescent="0.2">
      <c r="B19" s="122"/>
      <c r="C19" s="126" t="s">
        <v>181</v>
      </c>
      <c r="D19" s="131">
        <f>'JURNAL '!E97/10</f>
        <v>365384615.3846153</v>
      </c>
      <c r="E19" s="121"/>
      <c r="F19" s="131"/>
      <c r="G19" s="131"/>
      <c r="H19" s="131"/>
      <c r="I19" s="131"/>
    </row>
    <row r="20" spans="2:9" x14ac:dyDescent="0.2">
      <c r="B20" s="122"/>
      <c r="C20" s="126" t="s">
        <v>182</v>
      </c>
      <c r="D20" s="131">
        <f>+'JURNAL '!E15/6</f>
        <v>26398333.333333332</v>
      </c>
      <c r="E20" s="121"/>
      <c r="F20" s="131"/>
      <c r="G20" s="131"/>
      <c r="H20" s="131"/>
      <c r="I20" s="131"/>
    </row>
    <row r="21" spans="2:9" x14ac:dyDescent="0.2">
      <c r="B21" s="126" t="s">
        <v>183</v>
      </c>
      <c r="C21" s="122"/>
      <c r="D21" s="131">
        <f>'JURNAL '!E113</f>
        <v>70000000</v>
      </c>
      <c r="E21" s="121"/>
      <c r="F21" s="131"/>
      <c r="G21" s="131"/>
      <c r="H21" s="131"/>
      <c r="I21" s="131"/>
    </row>
    <row r="22" spans="2:9" x14ac:dyDescent="0.2">
      <c r="B22" s="126" t="s">
        <v>193</v>
      </c>
      <c r="C22" s="122"/>
      <c r="D22" s="131">
        <f>'INFORMASI TAMBAHAN'!D5</f>
        <v>0</v>
      </c>
      <c r="E22" s="121"/>
      <c r="F22" s="131">
        <f>D22</f>
        <v>0</v>
      </c>
      <c r="G22" s="131"/>
      <c r="H22" s="131">
        <f>+D22-F22</f>
        <v>0</v>
      </c>
      <c r="I22" s="131"/>
    </row>
    <row r="23" spans="2:9" x14ac:dyDescent="0.2">
      <c r="B23" s="126" t="s">
        <v>216</v>
      </c>
      <c r="C23" s="122"/>
      <c r="D23" s="131">
        <v>125000000</v>
      </c>
      <c r="E23" s="121"/>
      <c r="F23" s="131"/>
      <c r="G23" s="131"/>
      <c r="H23" s="131"/>
      <c r="I23" s="131"/>
    </row>
    <row r="24" spans="2:9" x14ac:dyDescent="0.2">
      <c r="B24" s="126" t="s">
        <v>215</v>
      </c>
      <c r="C24" s="122"/>
      <c r="D24" s="131">
        <v>276500000</v>
      </c>
      <c r="E24" s="121"/>
      <c r="F24" s="131"/>
      <c r="G24" s="131"/>
      <c r="H24" s="131"/>
      <c r="I24" s="131"/>
    </row>
    <row r="25" spans="2:9" x14ac:dyDescent="0.2">
      <c r="B25" s="136" t="s">
        <v>184</v>
      </c>
      <c r="C25" s="122"/>
      <c r="D25" s="131"/>
      <c r="E25" s="123">
        <f>SUM(D13:D24)</f>
        <v>5796607948.717948</v>
      </c>
      <c r="F25" s="131"/>
      <c r="G25" s="131"/>
      <c r="H25" s="131"/>
      <c r="I25" s="135">
        <f>SUM(H13:H24)</f>
        <v>0</v>
      </c>
    </row>
    <row r="26" spans="2:9" x14ac:dyDescent="0.2">
      <c r="B26" s="136" t="s">
        <v>213</v>
      </c>
      <c r="C26" s="122"/>
      <c r="D26" s="131"/>
      <c r="E26" s="123"/>
      <c r="F26" s="131"/>
      <c r="G26" s="131"/>
      <c r="H26" s="131"/>
      <c r="I26" s="135">
        <f>+I11-I25</f>
        <v>0</v>
      </c>
    </row>
    <row r="27" spans="2:9" x14ac:dyDescent="0.2">
      <c r="B27" s="122" t="s">
        <v>185</v>
      </c>
      <c r="C27" s="122"/>
      <c r="D27" s="131"/>
      <c r="E27" s="121"/>
      <c r="F27" s="131"/>
      <c r="G27" s="131"/>
      <c r="H27" s="131"/>
      <c r="I27" s="131"/>
    </row>
    <row r="28" spans="2:9" x14ac:dyDescent="0.2">
      <c r="B28" s="126" t="s">
        <v>188</v>
      </c>
      <c r="C28" s="122"/>
      <c r="D28" s="131">
        <f>'JURNAL '!F12</f>
        <v>175000000</v>
      </c>
      <c r="E28" s="121"/>
      <c r="F28" s="131"/>
      <c r="G28" s="131"/>
      <c r="H28" s="131"/>
      <c r="I28" s="131"/>
    </row>
    <row r="29" spans="2:9" x14ac:dyDescent="0.2">
      <c r="B29" s="126" t="s">
        <v>186</v>
      </c>
      <c r="C29" s="122"/>
      <c r="D29" s="131">
        <f>'JURNAL '!F44</f>
        <v>157550000</v>
      </c>
      <c r="E29" s="121"/>
      <c r="F29" s="131"/>
      <c r="G29" s="131"/>
      <c r="H29" s="131"/>
      <c r="I29" s="131"/>
    </row>
    <row r="30" spans="2:9" x14ac:dyDescent="0.2">
      <c r="B30" s="126" t="s">
        <v>188</v>
      </c>
      <c r="C30" s="122"/>
      <c r="D30" s="131">
        <f>'JURNAL '!F12</f>
        <v>175000000</v>
      </c>
      <c r="E30" s="121"/>
      <c r="F30" s="131"/>
      <c r="G30" s="131"/>
      <c r="H30" s="131"/>
      <c r="I30" s="131"/>
    </row>
    <row r="31" spans="2:9" x14ac:dyDescent="0.2">
      <c r="B31" s="126" t="s">
        <v>187</v>
      </c>
      <c r="C31" s="122"/>
      <c r="D31" s="131">
        <f>'JURNAL '!F104</f>
        <v>63250000</v>
      </c>
      <c r="E31" s="121"/>
      <c r="F31" s="131"/>
      <c r="G31" s="131"/>
      <c r="H31" s="131"/>
      <c r="I31" s="131"/>
    </row>
    <row r="32" spans="2:9" x14ac:dyDescent="0.2">
      <c r="B32" s="126" t="s">
        <v>189</v>
      </c>
      <c r="C32" s="122"/>
      <c r="D32" s="131">
        <f>'BUKU BESAR'!K38</f>
        <v>18450000</v>
      </c>
      <c r="E32" s="121"/>
      <c r="F32" s="131"/>
      <c r="G32" s="131"/>
      <c r="H32" s="131"/>
      <c r="I32" s="131"/>
    </row>
    <row r="33" spans="2:9" x14ac:dyDescent="0.2">
      <c r="B33" s="126" t="s">
        <v>190</v>
      </c>
      <c r="C33" s="122"/>
      <c r="D33" s="131">
        <f>'BUKU BESAR'!K44</f>
        <v>18450000</v>
      </c>
      <c r="E33" s="121"/>
      <c r="F33" s="131"/>
      <c r="G33" s="131"/>
      <c r="H33" s="131"/>
      <c r="I33" s="131"/>
    </row>
    <row r="34" spans="2:9" x14ac:dyDescent="0.2">
      <c r="B34" s="137" t="s">
        <v>206</v>
      </c>
      <c r="C34" s="122"/>
      <c r="D34" s="131">
        <f>SUM(D28:D33)</f>
        <v>607700000</v>
      </c>
      <c r="E34" s="121"/>
      <c r="F34" s="131"/>
      <c r="G34" s="131"/>
      <c r="H34" s="131"/>
      <c r="I34" s="135">
        <f>SUM(I28:I33)</f>
        <v>0</v>
      </c>
    </row>
    <row r="35" spans="2:9" x14ac:dyDescent="0.2">
      <c r="B35" s="122" t="s">
        <v>191</v>
      </c>
      <c r="C35" s="122"/>
      <c r="D35" s="131"/>
      <c r="E35" s="121"/>
      <c r="F35" s="131"/>
      <c r="G35" s="131"/>
      <c r="H35" s="131"/>
      <c r="I35" s="131"/>
    </row>
    <row r="36" spans="2:9" x14ac:dyDescent="0.2">
      <c r="B36" s="126"/>
      <c r="C36" s="126" t="s">
        <v>209</v>
      </c>
      <c r="D36" s="131">
        <v>25000000</v>
      </c>
      <c r="E36" s="121"/>
      <c r="F36" s="131"/>
      <c r="G36" s="131"/>
      <c r="H36" s="131"/>
      <c r="I36" s="131"/>
    </row>
    <row r="37" spans="2:9" x14ac:dyDescent="0.2">
      <c r="B37" s="122"/>
      <c r="C37" s="126" t="s">
        <v>210</v>
      </c>
      <c r="D37" s="131">
        <v>10000000</v>
      </c>
      <c r="E37" s="121"/>
      <c r="F37" s="131"/>
      <c r="G37" s="131"/>
      <c r="H37" s="131"/>
      <c r="I37" s="131"/>
    </row>
    <row r="38" spans="2:9" x14ac:dyDescent="0.2">
      <c r="B38" s="136" t="s">
        <v>212</v>
      </c>
      <c r="C38" s="122"/>
      <c r="D38" s="131"/>
      <c r="E38" s="121"/>
      <c r="F38" s="131"/>
      <c r="G38" s="131"/>
      <c r="H38" s="131"/>
      <c r="I38" s="131">
        <f>SUM(H36:H37)</f>
        <v>0</v>
      </c>
    </row>
    <row r="39" spans="2:9" x14ac:dyDescent="0.2">
      <c r="B39" s="138" t="s">
        <v>214</v>
      </c>
      <c r="C39" s="139"/>
      <c r="D39" s="131"/>
      <c r="E39" s="121"/>
      <c r="F39" s="131"/>
      <c r="G39" s="131"/>
      <c r="H39" s="131"/>
      <c r="I39" s="135">
        <f>+I34-I38</f>
        <v>0</v>
      </c>
    </row>
    <row r="40" spans="2:9" ht="19" customHeight="1" x14ac:dyDescent="0.2">
      <c r="B40" s="180" t="s">
        <v>224</v>
      </c>
      <c r="C40" s="181"/>
      <c r="D40" s="131"/>
      <c r="E40" s="121"/>
      <c r="F40" s="131"/>
      <c r="G40" s="131"/>
      <c r="H40" s="131"/>
      <c r="I40" s="64">
        <f>+I26+I39</f>
        <v>0</v>
      </c>
    </row>
    <row r="41" spans="2:9" x14ac:dyDescent="0.2">
      <c r="B41" s="122" t="s">
        <v>220</v>
      </c>
      <c r="C41" s="122"/>
      <c r="D41" s="131">
        <f>'INFORMASI TAMBAHAN'!E33</f>
        <v>0</v>
      </c>
      <c r="E41" s="121"/>
      <c r="F41" s="131"/>
      <c r="G41" s="131"/>
      <c r="H41" s="131">
        <f>D41</f>
        <v>0</v>
      </c>
      <c r="I41" s="131"/>
    </row>
    <row r="42" spans="2:9" x14ac:dyDescent="0.2">
      <c r="B42" s="122" t="s">
        <v>222</v>
      </c>
      <c r="C42" s="122"/>
      <c r="D42" s="131">
        <f>'INFORMASI TAMBAHAN'!E37</f>
        <v>0</v>
      </c>
      <c r="E42" s="121"/>
      <c r="F42" s="131"/>
      <c r="G42" s="131"/>
      <c r="H42" s="131">
        <f>D42</f>
        <v>0</v>
      </c>
      <c r="I42" s="131"/>
    </row>
    <row r="43" spans="2:9" x14ac:dyDescent="0.2">
      <c r="B43" s="122" t="s">
        <v>223</v>
      </c>
      <c r="C43" s="122"/>
      <c r="D43" s="131"/>
      <c r="E43" s="121"/>
      <c r="F43" s="131"/>
      <c r="G43" s="131"/>
      <c r="H43" s="131"/>
      <c r="I43" s="131">
        <f>SUM(H41:H42)</f>
        <v>0</v>
      </c>
    </row>
    <row r="44" spans="2:9" s="118" customFormat="1" x14ac:dyDescent="0.2">
      <c r="B44" s="136" t="s">
        <v>225</v>
      </c>
      <c r="C44" s="136"/>
      <c r="D44" s="135"/>
      <c r="E44" s="120"/>
      <c r="F44" s="135"/>
      <c r="G44" s="135"/>
      <c r="H44" s="135"/>
      <c r="I44" s="64">
        <f>+I40+I43</f>
        <v>0</v>
      </c>
    </row>
    <row r="45" spans="2:9" x14ac:dyDescent="0.2">
      <c r="B45" s="122"/>
      <c r="C45" s="122"/>
      <c r="D45" s="131"/>
      <c r="E45" s="121"/>
      <c r="F45" s="131"/>
      <c r="G45" s="131"/>
      <c r="H45" s="131"/>
      <c r="I45" s="131"/>
    </row>
    <row r="47" spans="2:9" x14ac:dyDescent="0.2">
      <c r="B47" t="s">
        <v>226</v>
      </c>
      <c r="E47" s="119">
        <f>12.5%*I44</f>
        <v>0</v>
      </c>
    </row>
    <row r="48" spans="2:9" x14ac:dyDescent="0.2">
      <c r="B48" t="s">
        <v>227</v>
      </c>
    </row>
    <row r="49" spans="3:9" x14ac:dyDescent="0.2">
      <c r="C49" t="s">
        <v>228</v>
      </c>
    </row>
    <row r="50" spans="3:9" x14ac:dyDescent="0.2">
      <c r="C50" t="s">
        <v>231</v>
      </c>
    </row>
    <row r="51" spans="3:9" x14ac:dyDescent="0.2">
      <c r="C51" t="s">
        <v>232</v>
      </c>
    </row>
    <row r="52" spans="3:9" x14ac:dyDescent="0.2">
      <c r="C52" t="s">
        <v>233</v>
      </c>
    </row>
    <row r="53" spans="3:9" x14ac:dyDescent="0.2">
      <c r="C53" t="s">
        <v>229</v>
      </c>
    </row>
    <row r="54" spans="3:9" x14ac:dyDescent="0.2">
      <c r="C54" t="s">
        <v>230</v>
      </c>
    </row>
    <row r="55" spans="3:9" x14ac:dyDescent="0.2">
      <c r="C55" t="s">
        <v>234</v>
      </c>
      <c r="D55" s="3">
        <f>'INFORMASI TAMBAHAN'!D32</f>
        <v>0</v>
      </c>
    </row>
    <row r="56" spans="3:9" x14ac:dyDescent="0.2">
      <c r="D56" s="3">
        <f>'INFORMASI TAMBAHAN'!D36</f>
        <v>0</v>
      </c>
    </row>
    <row r="57" spans="3:9" x14ac:dyDescent="0.2">
      <c r="E57" s="119">
        <f>SUM(D49:D56)</f>
        <v>0</v>
      </c>
    </row>
    <row r="58" spans="3:9" s="143" customFormat="1" x14ac:dyDescent="0.2">
      <c r="C58" s="140" t="s">
        <v>276</v>
      </c>
      <c r="D58" s="141"/>
      <c r="E58" s="142">
        <f>+E57-E47</f>
        <v>0</v>
      </c>
      <c r="F58" s="144"/>
      <c r="G58" s="144"/>
      <c r="H58" s="144"/>
      <c r="I58" s="144"/>
    </row>
  </sheetData>
  <mergeCells count="10">
    <mergeCell ref="F3:G3"/>
    <mergeCell ref="D3:E4"/>
    <mergeCell ref="H3:I4"/>
    <mergeCell ref="B40:C40"/>
    <mergeCell ref="B11:C11"/>
    <mergeCell ref="B12:C12"/>
    <mergeCell ref="B13:C13"/>
    <mergeCell ref="B15:C15"/>
    <mergeCell ref="B16:C16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TRANSAKSI</vt:lpstr>
      <vt:lpstr>JURNAL </vt:lpstr>
      <vt:lpstr>BUKU BESAR</vt:lpstr>
      <vt:lpstr>SOAL PERTEMUAN 14</vt:lpstr>
      <vt:lpstr>BUKU BESAR (2)</vt:lpstr>
      <vt:lpstr>INFORMASI TAMBAHAN</vt:lpstr>
      <vt:lpstr>LAPORAN FISKAL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kurnia</dc:creator>
  <cp:lastModifiedBy>siti kurnia</cp:lastModifiedBy>
  <dcterms:created xsi:type="dcterms:W3CDTF">2020-07-02T17:06:17Z</dcterms:created>
  <dcterms:modified xsi:type="dcterms:W3CDTF">2020-07-13T09:04:07Z</dcterms:modified>
</cp:coreProperties>
</file>