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371A85A-99BD-4734-817E-EA9542EF338C}" xr6:coauthVersionLast="45" xr6:coauthVersionMax="45" xr10:uidLastSave="{00000000-0000-0000-0000-000000000000}"/>
  <bookViews>
    <workbookView xWindow="-120" yWindow="-120" windowWidth="20730" windowHeight="11160" xr2:uid="{664F6881-A9B3-40BC-A939-3E04F5C26080}"/>
  </bookViews>
  <sheets>
    <sheet name="SOAL" sheetId="1" r:id="rId1"/>
    <sheet name="Produksi" sheetId="2" r:id="rId2"/>
    <sheet name="ADM &amp; MARKETING" sheetId="3" r:id="rId3"/>
    <sheet name="LAP KE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4" l="1"/>
  <c r="B58" i="4"/>
  <c r="D58" i="4"/>
  <c r="D57" i="4"/>
  <c r="D56" i="4"/>
  <c r="D51" i="4"/>
  <c r="D52" i="4"/>
  <c r="D50" i="4"/>
  <c r="B51" i="4"/>
  <c r="B50" i="4"/>
  <c r="D39" i="4"/>
  <c r="D38" i="4"/>
  <c r="D37" i="4"/>
  <c r="D36" i="4"/>
  <c r="D35" i="4"/>
  <c r="D34" i="4"/>
  <c r="D32" i="4"/>
  <c r="D33" i="4"/>
  <c r="D31" i="4"/>
  <c r="D28" i="4"/>
  <c r="D27" i="4"/>
  <c r="D9" i="1"/>
  <c r="D8" i="1"/>
  <c r="D7" i="1"/>
  <c r="D6" i="1"/>
  <c r="D5" i="1"/>
  <c r="B8" i="1"/>
  <c r="B7" i="1"/>
  <c r="D25" i="4"/>
  <c r="D29" i="4" s="1"/>
  <c r="C20" i="4"/>
  <c r="C19" i="4"/>
  <c r="D12" i="4"/>
  <c r="C10" i="4"/>
  <c r="B10" i="4"/>
  <c r="C9" i="4"/>
  <c r="B9" i="4"/>
  <c r="D72" i="2"/>
  <c r="C7" i="4" s="1"/>
  <c r="D7" i="4" s="1"/>
  <c r="D10" i="4"/>
  <c r="B7" i="4"/>
  <c r="C6" i="4"/>
  <c r="C8" i="4" s="1"/>
  <c r="B6" i="4"/>
  <c r="D6" i="4" s="1"/>
  <c r="B21" i="3"/>
  <c r="D17" i="3"/>
  <c r="D16" i="3"/>
  <c r="B11" i="3"/>
  <c r="B10" i="3"/>
  <c r="D6" i="3"/>
  <c r="D5" i="3"/>
  <c r="C72" i="2"/>
  <c r="D71" i="2"/>
  <c r="C71" i="2"/>
  <c r="D68" i="2"/>
  <c r="D67" i="2"/>
  <c r="C67" i="2"/>
  <c r="D66" i="2"/>
  <c r="C66" i="2"/>
  <c r="D70" i="2"/>
  <c r="C70" i="2"/>
  <c r="D69" i="2"/>
  <c r="C69" i="2"/>
  <c r="B61" i="2"/>
  <c r="B60" i="2"/>
  <c r="B59" i="2"/>
  <c r="B58" i="2"/>
  <c r="D55" i="2"/>
  <c r="D54" i="2"/>
  <c r="D46" i="2"/>
  <c r="D45" i="2"/>
  <c r="D15" i="2"/>
  <c r="C15" i="2"/>
  <c r="D18" i="2"/>
  <c r="C18" i="2"/>
  <c r="D16" i="2"/>
  <c r="C16" i="2"/>
  <c r="C34" i="2"/>
  <c r="D34" i="2"/>
  <c r="B34" i="2"/>
  <c r="C32" i="2"/>
  <c r="D32" i="2"/>
  <c r="B32" i="2"/>
  <c r="B33" i="2" s="1"/>
  <c r="C31" i="2"/>
  <c r="D31" i="2"/>
  <c r="B31" i="2"/>
  <c r="D33" i="2"/>
  <c r="D35" i="2" s="1"/>
  <c r="D36" i="2" s="1"/>
  <c r="C33" i="2"/>
  <c r="C35" i="2" s="1"/>
  <c r="C36" i="2" s="1"/>
  <c r="D25" i="2"/>
  <c r="C25" i="2"/>
  <c r="C26" i="2" s="1"/>
  <c r="C27" i="2" s="1"/>
  <c r="B25" i="2"/>
  <c r="D24" i="2"/>
  <c r="D26" i="2" s="1"/>
  <c r="D27" i="2" s="1"/>
  <c r="C24" i="2"/>
  <c r="B24" i="2"/>
  <c r="B26" i="2" s="1"/>
  <c r="B27" i="2" s="1"/>
  <c r="D10" i="2"/>
  <c r="D9" i="2"/>
  <c r="D6" i="2"/>
  <c r="D7" i="2" s="1"/>
  <c r="D5" i="2"/>
  <c r="D8" i="4" l="1"/>
  <c r="B8" i="4"/>
  <c r="B11" i="4" s="1"/>
  <c r="D11" i="4" s="1"/>
  <c r="D13" i="4" s="1"/>
  <c r="D9" i="4"/>
  <c r="C11" i="4"/>
  <c r="D18" i="3"/>
  <c r="B22" i="3"/>
  <c r="D7" i="3"/>
  <c r="B35" i="2"/>
  <c r="B36" i="2" s="1"/>
  <c r="B38" i="2" s="1"/>
  <c r="B39" i="2"/>
  <c r="B40" i="2"/>
  <c r="D56" i="2"/>
  <c r="D47" i="2"/>
  <c r="D17" i="2"/>
  <c r="D19" i="2" s="1"/>
  <c r="C17" i="2"/>
  <c r="C19" i="2" s="1"/>
  <c r="D22" i="1"/>
  <c r="D23" i="1"/>
  <c r="D24" i="1"/>
  <c r="D25" i="1"/>
  <c r="D26" i="1"/>
  <c r="D27" i="1"/>
  <c r="D28" i="1"/>
  <c r="D29" i="1"/>
  <c r="D30" i="1"/>
  <c r="D31" i="1"/>
  <c r="D21" i="1"/>
  <c r="D20" i="1"/>
  <c r="D10" i="1"/>
  <c r="B10" i="1"/>
  <c r="D14" i="4" l="1"/>
  <c r="D15" i="4" s="1"/>
  <c r="D16" i="4" l="1"/>
  <c r="D40" i="4" s="1"/>
  <c r="D43" i="4" s="1"/>
  <c r="D44" i="4" s="1"/>
  <c r="D17" i="4" l="1"/>
</calcChain>
</file>

<file path=xl/sharedStrings.xml><?xml version="1.0" encoding="utf-8"?>
<sst xmlns="http://schemas.openxmlformats.org/spreadsheetml/2006/main" count="253" uniqueCount="191">
  <si>
    <t>KETERANGAN</t>
  </si>
  <si>
    <t>RP</t>
  </si>
  <si>
    <t>KAS</t>
  </si>
  <si>
    <t>PIUTANG</t>
  </si>
  <si>
    <t>PERSEDIAAN</t>
  </si>
  <si>
    <t>HARTA TETAP</t>
  </si>
  <si>
    <t>UTANG DAGANG</t>
  </si>
  <si>
    <t>UTANG BUNGA</t>
  </si>
  <si>
    <t>UTANG PAJAK</t>
  </si>
  <si>
    <t>UTANG JANGKA PANJANG</t>
  </si>
  <si>
    <t>MODAL SENDIRI</t>
  </si>
  <si>
    <t>NERACA</t>
  </si>
  <si>
    <t>PT ABC</t>
  </si>
  <si>
    <t>TOTAL</t>
  </si>
  <si>
    <t>KETERANGAN TABEL NERACA</t>
  </si>
  <si>
    <t>1. BUNGA UTANG JANGKA PANJANG 20 % PER TAHUN</t>
  </si>
  <si>
    <t>2. NILAI PERSEDIAAN RP 4.475.000 TERDIRI DARI BAHAN BAKU RP 547.000 &amp; BARANG JADI RP. 3.928.000</t>
  </si>
  <si>
    <t>LABA RUGI</t>
  </si>
  <si>
    <t>%</t>
  </si>
  <si>
    <t>PENJUALAN</t>
  </si>
  <si>
    <t>HARGA POKOK PENJUALAN</t>
  </si>
  <si>
    <t>LABA KOTOR</t>
  </si>
  <si>
    <t>BIAYA PEMASARAN</t>
  </si>
  <si>
    <t>BIAYA ADMINSITRASI</t>
  </si>
  <si>
    <t>LABA OPERASI</t>
  </si>
  <si>
    <t>BUNGA 20 % X RP 5000</t>
  </si>
  <si>
    <t>LABA SEBELUM PAJAK</t>
  </si>
  <si>
    <t>PAJAK 50 %</t>
  </si>
  <si>
    <t xml:space="preserve">LABA BERSIH </t>
  </si>
  <si>
    <t>DEVIDEN 80 % X RP 1.750</t>
  </si>
  <si>
    <t>LABA DITAHAN</t>
  </si>
  <si>
    <t>DATA YANG TERSEDIA ANTARA LAIN :</t>
  </si>
  <si>
    <t>BAHAN BAKU A</t>
  </si>
  <si>
    <t>BAHAN BAKU B</t>
  </si>
  <si>
    <t>BAHAN BAKU C</t>
  </si>
  <si>
    <t>TABEL HARGA DAN PENGGUNAAN BAHAN BAKU</t>
  </si>
  <si>
    <t>PRODUK X</t>
  </si>
  <si>
    <t>PRODUK Y</t>
  </si>
  <si>
    <t>PERSEDIAAN AWAL (UNIT)</t>
  </si>
  <si>
    <t>PERSEDIAAN AKHIR (UNIT)</t>
  </si>
  <si>
    <t>HARGA PER UNIT (RP)</t>
  </si>
  <si>
    <t>RENCANA PENJUALAN</t>
  </si>
  <si>
    <t>HARGA PER UNIT</t>
  </si>
  <si>
    <t>PERSEDIAAN AWAL / UNIT</t>
  </si>
  <si>
    <t>PERSEDIAAN AKHIR</t>
  </si>
  <si>
    <t>JAM KERJA UPAH BURUH PER 1 UNIT</t>
  </si>
  <si>
    <t>TARIF UPAH BURUH PER UNIT</t>
  </si>
  <si>
    <t>JAM</t>
  </si>
  <si>
    <t>UNIT</t>
  </si>
  <si>
    <t>BEBAN PENYUSUTAN AKTIVA TETAP DIVISI PEMASARAN</t>
  </si>
  <si>
    <t>BEBAN PENYUSUTAN AKTIVA TETAP DIVISI ADMINISTRASI</t>
  </si>
  <si>
    <t>ASUMSI :</t>
  </si>
  <si>
    <t>A. PENJUALAN TUNAI : 70 % &amp; SISANYA KREDIT</t>
  </si>
  <si>
    <t>B. TARIF TETAP 20 % ADALAH BEBAN PENYUSUTAN AKTIVA TETAP PABRIK</t>
  </si>
  <si>
    <t>C. PAJAK PERSEROAN 50 %</t>
  </si>
  <si>
    <t>D. PEMBELIAN MATERIAL DIBAYAR TUNAI 50 % SISANYA KREDIT</t>
  </si>
  <si>
    <t>E. BIAYA PEMASARAN DAN ADMINISTRASI 60 % DIBAYAR TUNAI SISANYA UTANG BIAYA</t>
  </si>
  <si>
    <t xml:space="preserve">F. TAHUN MENDATANG SELURUH UTANG DAGANG, UTANG PAJAK DAN UTANG BUNGA DIBAYAR  </t>
  </si>
  <si>
    <t>G. BUNGA DAN PAJAK TAHUN YANG BERSANGKUTAN DIBAYAR TUNAI 50 % SISANYA TERUTANG</t>
  </si>
  <si>
    <t>H. DIVIDEN TERUTANG , SEMUA TAGIHAN TAHUN LALU DIBAYAR TUNAI TAHUN DEPAN</t>
  </si>
  <si>
    <t>I. PENJUALAN AKTIVA TETAP YANG RUSAK RP 600.000</t>
  </si>
  <si>
    <t xml:space="preserve">J. PEMBELIAN AKTIVA TETAP BARU RP 2.000.000 TUNAI </t>
  </si>
  <si>
    <t>K. ANGSURAN UTANG JANGKA PANJANG RP 1.000.000</t>
  </si>
  <si>
    <t>BAGAIMANA PENYAJIAN ANGGARAN INDUK PT ABC ?</t>
  </si>
  <si>
    <t>Produk X = 60.000 x Rp. 200</t>
  </si>
  <si>
    <t>Produk Y = 40.000 x Rp. 250</t>
  </si>
  <si>
    <t>Jumlah</t>
  </si>
  <si>
    <t>Katerangan</t>
  </si>
  <si>
    <t>Penjualan Tunai = 70 % x Rp. 22.000.000</t>
  </si>
  <si>
    <t>Piutang Dagang = 30 % x Rp. 22.000.000</t>
  </si>
  <si>
    <t>1.1 Anggaran Penjualan</t>
  </si>
  <si>
    <t>1.2 Anggaran Produksi (Dalam Unit)</t>
  </si>
  <si>
    <t>Penjualan</t>
  </si>
  <si>
    <t xml:space="preserve">Ditambah Persediaan Akhir </t>
  </si>
  <si>
    <t>Total</t>
  </si>
  <si>
    <t>Dikurangi Persediaan Awal</t>
  </si>
  <si>
    <t>Unit Yang diproduksi</t>
  </si>
  <si>
    <t>Produk Y</t>
  </si>
  <si>
    <t>Produk  X</t>
  </si>
  <si>
    <t>1.3 Anggaran Penggunaan Bahan Baku</t>
  </si>
  <si>
    <t>Bahan Baku B @ Rp5</t>
  </si>
  <si>
    <t>Bahan Baku A @ Rp12</t>
  </si>
  <si>
    <t>Bahan Baku C @ Rp3</t>
  </si>
  <si>
    <t>Produk X, 65.000 unit (4,2,0)</t>
  </si>
  <si>
    <t>Produk Y, 41.000 unit (5,3,1)</t>
  </si>
  <si>
    <t>Jumlah dalam Unit</t>
  </si>
  <si>
    <t>1.4 Anggaran Pembelian Bahan Baku</t>
  </si>
  <si>
    <t>Penggunaan</t>
  </si>
  <si>
    <t>Ditambah Persediaan akhir</t>
  </si>
  <si>
    <t>Jumlah (unit)</t>
  </si>
  <si>
    <t>Jumlah (Rp)</t>
  </si>
  <si>
    <t>Ket Tabel 1.4</t>
  </si>
  <si>
    <t xml:space="preserve">1. Jumlah Pembelian </t>
  </si>
  <si>
    <t>2. Pembelian Tunai 50 %</t>
  </si>
  <si>
    <t>3. Pembelian Kredit 50 %</t>
  </si>
  <si>
    <t>1.5 Anggaran Upah Buruh</t>
  </si>
  <si>
    <t>Produk X = 65.000 x 2 Jam x Rp 12</t>
  </si>
  <si>
    <t>Produk Y = 41.000 x 3 Jam x Rp 16</t>
  </si>
  <si>
    <t>Ket : Seluruh Upah buruh dibayar tunai</t>
  </si>
  <si>
    <t>1.6 Anggaran Biaya Overhead Pabrik</t>
  </si>
  <si>
    <t>Produk X = 65.000 x 2 Jam x Rp 20</t>
  </si>
  <si>
    <t>Produk Y = 41.000 x 3 Jam x Rp 20</t>
  </si>
  <si>
    <t>Ket tabel 1.6 :</t>
  </si>
  <si>
    <t>1. Penyusutan diperhitungkan 20 %</t>
  </si>
  <si>
    <t>2. BOP per Kas 80%</t>
  </si>
  <si>
    <t>3. Dibayar tunai 80 %</t>
  </si>
  <si>
    <t>4. BOP Terutang</t>
  </si>
  <si>
    <t>Bahan A</t>
  </si>
  <si>
    <t>Bahan B</t>
  </si>
  <si>
    <t>Bahan C</t>
  </si>
  <si>
    <t>Upah Buruh</t>
  </si>
  <si>
    <t>Biaya overhead Pabrik</t>
  </si>
  <si>
    <t>Produk  X (65.000 Unit)</t>
  </si>
  <si>
    <t>Produk Y (41.000 unit)</t>
  </si>
  <si>
    <t>Per unit (RP)</t>
  </si>
  <si>
    <t>Ket Tabel 1.1 :</t>
  </si>
  <si>
    <t>1.7 Anggaran Harga Pokok Produksi (Dalam Rupiah)</t>
  </si>
  <si>
    <t>1.8 Anggaran Biaya Marketing</t>
  </si>
  <si>
    <t>Produk X = 680.000 (R/L), 680.000 - 180.000</t>
  </si>
  <si>
    <t>Produk Y = 560.000 (R/L), 560.000 - 160.000</t>
  </si>
  <si>
    <t>Ket Tabel 1.8 :</t>
  </si>
  <si>
    <t>1. Penyusutan Rp. 340.000</t>
  </si>
  <si>
    <t>2. Dibayar Tunai 60%</t>
  </si>
  <si>
    <t>3. Terutang 40 %</t>
  </si>
  <si>
    <t>1.9 Anggaran Biaya Administrasi</t>
  </si>
  <si>
    <t>Produk X = 500.000 (R/L), 500.000 - 100.000</t>
  </si>
  <si>
    <t>Produk Y = 1.000.000 (R/L), 1.000.000 - 200.000</t>
  </si>
  <si>
    <t>1. Penyusutan Rp. 300.000</t>
  </si>
  <si>
    <t>1.10 Anggaran Laba Rugi</t>
  </si>
  <si>
    <t>Produk X 60.000 Unit (Rp)</t>
  </si>
  <si>
    <t>Produk Y 40.000 Unit (Rp)</t>
  </si>
  <si>
    <t>Penjualan - Rp</t>
  </si>
  <si>
    <t>HP Penjualan</t>
  </si>
  <si>
    <t xml:space="preserve">Laba Kotor </t>
  </si>
  <si>
    <t>Biaya Pemasaran</t>
  </si>
  <si>
    <t>Biaya Adminstrasi</t>
  </si>
  <si>
    <t xml:space="preserve">Laba Operasi </t>
  </si>
  <si>
    <t>Bunga 20 % x Rp 4.000.000</t>
  </si>
  <si>
    <t>Laba Sebelum Pajak</t>
  </si>
  <si>
    <t>Pajak 50 % x Rp. 3.700.000</t>
  </si>
  <si>
    <t>Laba Bersih</t>
  </si>
  <si>
    <t>Deviden 50 % Cash</t>
  </si>
  <si>
    <t>Laba Ditahan</t>
  </si>
  <si>
    <t>Ket Tabel 1.10 :</t>
  </si>
  <si>
    <t>1. Pembayaran Tunai Bunga 50 % x Rp. 800.000</t>
  </si>
  <si>
    <t>2. Pembayaran Tunai Pajak 50 % x Rp 1.850.000</t>
  </si>
  <si>
    <t>1.11 Anggaran Kas</t>
  </si>
  <si>
    <t>Keterangan</t>
  </si>
  <si>
    <t>Saldo Awal</t>
  </si>
  <si>
    <t>Penjualan Aktiva Rusak</t>
  </si>
  <si>
    <t>Penerimaan Piutang</t>
  </si>
  <si>
    <t>Jumlah Penerimaan Kas</t>
  </si>
  <si>
    <t xml:space="preserve">PER 1 JAN </t>
  </si>
  <si>
    <t>Penerimaan Kas</t>
  </si>
  <si>
    <t>Pengeluaran Kas</t>
  </si>
  <si>
    <t>Penerimaan Tunai Penjualan</t>
  </si>
  <si>
    <t>Pengeluaran :</t>
  </si>
  <si>
    <t>Utang Dagang</t>
  </si>
  <si>
    <t>Utang Bunga</t>
  </si>
  <si>
    <t>Utang Pajak</t>
  </si>
  <si>
    <t>Pembelian Material</t>
  </si>
  <si>
    <t>BOP</t>
  </si>
  <si>
    <t>Biaya Administrasi</t>
  </si>
  <si>
    <t>Bunga</t>
  </si>
  <si>
    <t>Deviden</t>
  </si>
  <si>
    <t>Pembelian Aktiva Baru</t>
  </si>
  <si>
    <t>Angsuran Utang Jangka Panjang</t>
  </si>
  <si>
    <t>Total Pengeluaran</t>
  </si>
  <si>
    <t>Saldo Kas</t>
  </si>
  <si>
    <t>1.11 Neraca Yang Dianggarkan</t>
  </si>
  <si>
    <t xml:space="preserve">Neraca Per 31 Dec </t>
  </si>
  <si>
    <t>Rp</t>
  </si>
  <si>
    <t xml:space="preserve">Kas </t>
  </si>
  <si>
    <t>Piutang</t>
  </si>
  <si>
    <t>Persediaan</t>
  </si>
  <si>
    <t>Harta Tetap Bersih</t>
  </si>
  <si>
    <t xml:space="preserve">Utang Pajak </t>
  </si>
  <si>
    <t>Utang biaya</t>
  </si>
  <si>
    <t>Utang Deviden</t>
  </si>
  <si>
    <t>Utang Jangka Panjang</t>
  </si>
  <si>
    <t>Modal Sendiri</t>
  </si>
  <si>
    <t>Utang Dan Modal</t>
  </si>
  <si>
    <t>Jumlah Harta</t>
  </si>
  <si>
    <t>Ket Tabel 1.11 :</t>
  </si>
  <si>
    <t>1. Bunga Utang Jangka Panjang 20 % / tahun</t>
  </si>
  <si>
    <t>2. Utang Biaya = Biaya overhead Rp. 809.600 + Biaya Marketing Rp. 360.000 + Biaya Administrasi Rp. 480.000 = Rp.1.649.600</t>
  </si>
  <si>
    <t>4. Penyusutan Aktiva Tetap = divisi pabrik Rp. 1.012.000 + divisi pemasaran Rp. 340.000 + divisi adm Rp 300.000 = Rp. 1.652.000</t>
  </si>
  <si>
    <t>5. Persediaan = Persediaan Awal Rp. 4.475.000 + Persediaan Akhir ( Bahan Baku Rp. 66.000 + Barang Jadi Rp. 796.000)</t>
  </si>
  <si>
    <t xml:space="preserve">     Bahan Baku Persediaan Akhir = Anggaran Pembelian - Anggaran Penggunaan = Rp. 7.034.000 - 6.968.000 = Rp. 66.000</t>
  </si>
  <si>
    <t xml:space="preserve">     Barang Jadi Persediaan Akhir = Barang Di produksi - Barang Dijual = ((65.000 unit x Rp 122) + (41.000 unit x Rp 186)) - ((60.000 unit x Rp 122) - (40.000 unit x Rp 186))</t>
  </si>
  <si>
    <t>3. Harta Tetap Bersih : Rp. 6.525.000 (awal) - 600.000 (dijual) + 2.000.000 pembelian) - 1.625.000 Penyusutan = Rp. 6.273.000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</si>
</sst>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" xfId="1" applyNumberFormat="1" applyFont="1" applyBorder="1" applyAlignment="1">
      <alignment horizontal="center"/>
    </xf>
    <xf numFmtId="9" fontId="0" fillId="0" borderId="1" xfId="2" applyFont="1" applyBorder="1"/>
    <xf numFmtId="9" fontId="0" fillId="0" borderId="0" xfId="2" applyFont="1"/>
    <xf numFmtId="9" fontId="0" fillId="0" borderId="1" xfId="2" applyFont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4" fontId="0" fillId="0" borderId="13" xfId="1" applyNumberFormat="1" applyFont="1" applyBorder="1"/>
    <xf numFmtId="9" fontId="0" fillId="0" borderId="13" xfId="2" applyFont="1" applyBorder="1"/>
    <xf numFmtId="10" fontId="0" fillId="0" borderId="9" xfId="2" applyNumberFormat="1" applyFont="1" applyBorder="1"/>
    <xf numFmtId="10" fontId="0" fillId="0" borderId="10" xfId="2" applyNumberFormat="1" applyFont="1" applyBorder="1"/>
    <xf numFmtId="10" fontId="0" fillId="0" borderId="13" xfId="2" applyNumberFormat="1" applyFont="1" applyBorder="1"/>
    <xf numFmtId="164" fontId="0" fillId="0" borderId="0" xfId="2" applyNumberFormat="1" applyFont="1"/>
    <xf numFmtId="2" fontId="0" fillId="0" borderId="0" xfId="0" applyNumberFormat="1"/>
    <xf numFmtId="1" fontId="0" fillId="0" borderId="1" xfId="1" applyNumberFormat="1" applyFont="1" applyBorder="1"/>
    <xf numFmtId="164" fontId="0" fillId="0" borderId="1" xfId="2" applyNumberFormat="1" applyFont="1" applyBorder="1"/>
    <xf numFmtId="1" fontId="0" fillId="0" borderId="0" xfId="2" applyNumberFormat="1" applyFont="1"/>
    <xf numFmtId="164" fontId="2" fillId="0" borderId="1" xfId="1" applyNumberFormat="1" applyFont="1" applyBorder="1"/>
    <xf numFmtId="9" fontId="2" fillId="0" borderId="1" xfId="2" applyFont="1" applyBorder="1"/>
    <xf numFmtId="164" fontId="0" fillId="0" borderId="0" xfId="1" applyNumberFormat="1" applyFon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5" xfId="0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0" fillId="0" borderId="15" xfId="1" applyNumberFormat="1" applyFont="1" applyBorder="1"/>
    <xf numFmtId="164" fontId="0" fillId="0" borderId="7" xfId="1" applyNumberFormat="1" applyFont="1" applyBorder="1"/>
    <xf numFmtId="0" fontId="0" fillId="0" borderId="9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9" xfId="1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3" xfId="1" applyNumberFormat="1" applyFont="1" applyBorder="1"/>
    <xf numFmtId="0" fontId="2" fillId="0" borderId="2" xfId="0" applyFont="1" applyBorder="1"/>
    <xf numFmtId="164" fontId="0" fillId="0" borderId="0" xfId="0" applyNumberFormat="1"/>
    <xf numFmtId="164" fontId="0" fillId="0" borderId="14" xfId="1" applyNumberFormat="1" applyFont="1" applyBorder="1"/>
    <xf numFmtId="164" fontId="0" fillId="0" borderId="11" xfId="1" applyNumberFormat="1" applyFont="1" applyBorder="1"/>
    <xf numFmtId="164" fontId="2" fillId="0" borderId="8" xfId="1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DFEF-AE4B-452B-9138-266F92496517}">
  <dimension ref="A1:F83"/>
  <sheetViews>
    <sheetView tabSelected="1" workbookViewId="0">
      <selection sqref="A1:D1"/>
    </sheetView>
  </sheetViews>
  <sheetFormatPr defaultRowHeight="15" x14ac:dyDescent="0.25"/>
  <cols>
    <col min="1" max="1" width="50.140625" customWidth="1"/>
    <col min="2" max="2" width="16" style="1" bestFit="1" customWidth="1"/>
    <col min="3" max="3" width="24.28515625" style="1" bestFit="1" customWidth="1"/>
    <col min="4" max="4" width="14.42578125" style="11" bestFit="1" customWidth="1"/>
  </cols>
  <sheetData>
    <row r="1" spans="1:4" x14ac:dyDescent="0.25">
      <c r="A1" s="57" t="s">
        <v>11</v>
      </c>
      <c r="B1" s="57"/>
      <c r="C1" s="57"/>
      <c r="D1" s="57"/>
    </row>
    <row r="2" spans="1:4" x14ac:dyDescent="0.25">
      <c r="A2" s="57" t="s">
        <v>12</v>
      </c>
      <c r="B2" s="57"/>
      <c r="C2" s="57"/>
      <c r="D2" s="57"/>
    </row>
    <row r="3" spans="1:4" x14ac:dyDescent="0.25">
      <c r="A3" s="57" t="s">
        <v>152</v>
      </c>
      <c r="B3" s="57"/>
      <c r="C3" s="57"/>
      <c r="D3" s="57"/>
    </row>
    <row r="4" spans="1:4" x14ac:dyDescent="0.25">
      <c r="A4" s="2" t="s">
        <v>0</v>
      </c>
      <c r="B4" s="3" t="s">
        <v>1</v>
      </c>
      <c r="C4" s="3" t="s">
        <v>0</v>
      </c>
      <c r="D4" s="10" t="s">
        <v>1</v>
      </c>
    </row>
    <row r="5" spans="1:4" x14ac:dyDescent="0.25">
      <c r="A5" s="4" t="s">
        <v>2</v>
      </c>
      <c r="B5" s="7">
        <v>5000000</v>
      </c>
      <c r="C5" s="7" t="s">
        <v>6</v>
      </c>
      <c r="D5" s="7">
        <f>2000*1000</f>
        <v>2000000</v>
      </c>
    </row>
    <row r="6" spans="1:4" x14ac:dyDescent="0.25">
      <c r="A6" s="4" t="s">
        <v>3</v>
      </c>
      <c r="B6" s="7">
        <v>4000000</v>
      </c>
      <c r="C6" s="7" t="s">
        <v>7</v>
      </c>
      <c r="D6" s="7">
        <f>1800*1000</f>
        <v>1800000</v>
      </c>
    </row>
    <row r="7" spans="1:4" x14ac:dyDescent="0.25">
      <c r="A7" s="4" t="s">
        <v>4</v>
      </c>
      <c r="B7" s="7">
        <f>4475*1000</f>
        <v>4475000</v>
      </c>
      <c r="C7" s="7" t="s">
        <v>8</v>
      </c>
      <c r="D7" s="7">
        <f>1200*1000</f>
        <v>1200000</v>
      </c>
    </row>
    <row r="8" spans="1:4" x14ac:dyDescent="0.25">
      <c r="A8" s="4" t="s">
        <v>5</v>
      </c>
      <c r="B8" s="7">
        <f>6525*1000</f>
        <v>6525000</v>
      </c>
      <c r="C8" s="7" t="s">
        <v>9</v>
      </c>
      <c r="D8" s="7">
        <f>5000*1000</f>
        <v>5000000</v>
      </c>
    </row>
    <row r="9" spans="1:4" x14ac:dyDescent="0.25">
      <c r="A9" s="5"/>
      <c r="B9" s="8"/>
      <c r="C9" s="8" t="s">
        <v>10</v>
      </c>
      <c r="D9" s="8">
        <f>10000*1000</f>
        <v>10000000</v>
      </c>
    </row>
    <row r="10" spans="1:4" x14ac:dyDescent="0.25">
      <c r="A10" s="5" t="s">
        <v>13</v>
      </c>
      <c r="B10" s="8">
        <f>SUM(B5:B9)</f>
        <v>20000000</v>
      </c>
      <c r="C10" s="8" t="s">
        <v>13</v>
      </c>
      <c r="D10" s="8">
        <f>SUM(D5:D9)</f>
        <v>20000000</v>
      </c>
    </row>
    <row r="12" spans="1:4" x14ac:dyDescent="0.25">
      <c r="A12" t="s">
        <v>14</v>
      </c>
    </row>
    <row r="13" spans="1:4" x14ac:dyDescent="0.25">
      <c r="A13" t="s">
        <v>15</v>
      </c>
    </row>
    <row r="14" spans="1:4" x14ac:dyDescent="0.25">
      <c r="A14" t="s">
        <v>16</v>
      </c>
    </row>
    <row r="16" spans="1:4" x14ac:dyDescent="0.25">
      <c r="A16" s="57" t="s">
        <v>17</v>
      </c>
      <c r="B16" s="57"/>
      <c r="C16" s="57"/>
      <c r="D16" s="57"/>
    </row>
    <row r="17" spans="1:4" x14ac:dyDescent="0.25">
      <c r="A17" s="57" t="s">
        <v>12</v>
      </c>
      <c r="B17" s="57"/>
      <c r="C17" s="57"/>
      <c r="D17" s="57"/>
    </row>
    <row r="18" spans="1:4" x14ac:dyDescent="0.25">
      <c r="A18" s="57" t="s">
        <v>152</v>
      </c>
      <c r="B18" s="57"/>
      <c r="C18" s="57"/>
      <c r="D18" s="57"/>
    </row>
    <row r="19" spans="1:4" x14ac:dyDescent="0.25">
      <c r="A19" s="58" t="s">
        <v>0</v>
      </c>
      <c r="B19" s="59"/>
      <c r="C19" s="9" t="s">
        <v>1</v>
      </c>
      <c r="D19" s="12" t="s">
        <v>18</v>
      </c>
    </row>
    <row r="20" spans="1:4" x14ac:dyDescent="0.25">
      <c r="A20" s="60" t="s">
        <v>19</v>
      </c>
      <c r="B20" s="61"/>
      <c r="C20" s="15">
        <v>18000000</v>
      </c>
      <c r="D20" s="16">
        <f>C20/C20*100%</f>
        <v>1</v>
      </c>
    </row>
    <row r="21" spans="1:4" x14ac:dyDescent="0.25">
      <c r="A21" s="13" t="s">
        <v>20</v>
      </c>
      <c r="B21" s="14"/>
      <c r="C21" s="7">
        <v>10800000</v>
      </c>
      <c r="D21" s="17">
        <f>C21/C$20*100%</f>
        <v>0.6</v>
      </c>
    </row>
    <row r="22" spans="1:4" x14ac:dyDescent="0.25">
      <c r="A22" s="55" t="s">
        <v>21</v>
      </c>
      <c r="B22" s="56"/>
      <c r="C22" s="7">
        <v>7200000</v>
      </c>
      <c r="D22" s="17">
        <f t="shared" ref="D22:D31" si="0">C22/C$20*100%</f>
        <v>0.4</v>
      </c>
    </row>
    <row r="23" spans="1:4" x14ac:dyDescent="0.25">
      <c r="A23" s="55" t="s">
        <v>22</v>
      </c>
      <c r="B23" s="56"/>
      <c r="C23" s="7">
        <v>1800000</v>
      </c>
      <c r="D23" s="17">
        <f t="shared" si="0"/>
        <v>0.1</v>
      </c>
    </row>
    <row r="24" spans="1:4" x14ac:dyDescent="0.25">
      <c r="A24" s="55" t="s">
        <v>23</v>
      </c>
      <c r="B24" s="56"/>
      <c r="C24" s="7">
        <v>900000</v>
      </c>
      <c r="D24" s="17">
        <f t="shared" si="0"/>
        <v>0.05</v>
      </c>
    </row>
    <row r="25" spans="1:4" x14ac:dyDescent="0.25">
      <c r="A25" s="55" t="s">
        <v>24</v>
      </c>
      <c r="B25" s="56"/>
      <c r="C25" s="7">
        <v>4500000</v>
      </c>
      <c r="D25" s="17">
        <f t="shared" si="0"/>
        <v>0.25</v>
      </c>
    </row>
    <row r="26" spans="1:4" x14ac:dyDescent="0.25">
      <c r="A26" s="55" t="s">
        <v>25</v>
      </c>
      <c r="B26" s="56"/>
      <c r="C26" s="7">
        <v>1000000</v>
      </c>
      <c r="D26" s="17">
        <f t="shared" si="0"/>
        <v>5.5555555555555552E-2</v>
      </c>
    </row>
    <row r="27" spans="1:4" x14ac:dyDescent="0.25">
      <c r="A27" s="55" t="s">
        <v>26</v>
      </c>
      <c r="B27" s="56"/>
      <c r="C27" s="7">
        <v>3500000</v>
      </c>
      <c r="D27" s="17">
        <f t="shared" si="0"/>
        <v>0.19444444444444445</v>
      </c>
    </row>
    <row r="28" spans="1:4" x14ac:dyDescent="0.25">
      <c r="A28" s="65" t="s">
        <v>27</v>
      </c>
      <c r="B28" s="66"/>
      <c r="C28" s="8">
        <v>1750000</v>
      </c>
      <c r="D28" s="18">
        <f t="shared" si="0"/>
        <v>9.7222222222222224E-2</v>
      </c>
    </row>
    <row r="29" spans="1:4" x14ac:dyDescent="0.25">
      <c r="A29" s="60" t="s">
        <v>28</v>
      </c>
      <c r="B29" s="61"/>
      <c r="C29" s="15">
        <v>1750000</v>
      </c>
      <c r="D29" s="19">
        <f t="shared" si="0"/>
        <v>9.7222222222222224E-2</v>
      </c>
    </row>
    <row r="30" spans="1:4" x14ac:dyDescent="0.25">
      <c r="A30" s="65" t="s">
        <v>29</v>
      </c>
      <c r="B30" s="66"/>
      <c r="C30" s="8">
        <v>1400000</v>
      </c>
      <c r="D30" s="18">
        <f t="shared" si="0"/>
        <v>7.7777777777777779E-2</v>
      </c>
    </row>
    <row r="31" spans="1:4" x14ac:dyDescent="0.25">
      <c r="A31" s="65" t="s">
        <v>30</v>
      </c>
      <c r="B31" s="66"/>
      <c r="C31" s="8">
        <v>350000</v>
      </c>
      <c r="D31" s="18">
        <f t="shared" si="0"/>
        <v>1.9444444444444445E-2</v>
      </c>
    </row>
    <row r="34" spans="1:4" x14ac:dyDescent="0.25">
      <c r="A34" s="63" t="s">
        <v>0</v>
      </c>
      <c r="B34" s="64"/>
      <c r="C34" s="25" t="s">
        <v>36</v>
      </c>
      <c r="D34" s="26" t="s">
        <v>37</v>
      </c>
    </row>
    <row r="35" spans="1:4" x14ac:dyDescent="0.25">
      <c r="A35" s="2" t="s">
        <v>41</v>
      </c>
      <c r="B35" s="3" t="s">
        <v>48</v>
      </c>
      <c r="C35" s="3">
        <v>60000</v>
      </c>
      <c r="D35" s="3">
        <v>40000</v>
      </c>
    </row>
    <row r="36" spans="1:4" x14ac:dyDescent="0.25">
      <c r="A36" s="2" t="s">
        <v>42</v>
      </c>
      <c r="B36" s="3" t="s">
        <v>1</v>
      </c>
      <c r="C36" s="3">
        <v>200</v>
      </c>
      <c r="D36" s="3">
        <v>250</v>
      </c>
    </row>
    <row r="37" spans="1:4" x14ac:dyDescent="0.25">
      <c r="A37" s="2" t="s">
        <v>43</v>
      </c>
      <c r="B37" s="3" t="s">
        <v>48</v>
      </c>
      <c r="C37" s="3">
        <v>20000</v>
      </c>
      <c r="D37" s="3">
        <v>8000</v>
      </c>
    </row>
    <row r="38" spans="1:4" x14ac:dyDescent="0.25">
      <c r="A38" s="2" t="s">
        <v>44</v>
      </c>
      <c r="B38" s="3" t="s">
        <v>48</v>
      </c>
      <c r="C38" s="3">
        <v>25000</v>
      </c>
      <c r="D38" s="3">
        <v>9000</v>
      </c>
    </row>
    <row r="39" spans="1:4" x14ac:dyDescent="0.25">
      <c r="A39" s="2" t="s">
        <v>45</v>
      </c>
      <c r="B39" s="3" t="s">
        <v>47</v>
      </c>
      <c r="C39" s="3">
        <v>2</v>
      </c>
      <c r="D39" s="3">
        <v>3</v>
      </c>
    </row>
    <row r="40" spans="1:4" x14ac:dyDescent="0.25">
      <c r="A40" s="2" t="s">
        <v>46</v>
      </c>
      <c r="B40" s="3" t="s">
        <v>1</v>
      </c>
      <c r="C40" s="3">
        <v>12</v>
      </c>
      <c r="D40" s="3">
        <v>16</v>
      </c>
    </row>
    <row r="41" spans="1:4" x14ac:dyDescent="0.25">
      <c r="A41" s="2" t="s">
        <v>22</v>
      </c>
      <c r="B41" s="3" t="s">
        <v>1</v>
      </c>
      <c r="C41" s="3">
        <v>680000</v>
      </c>
      <c r="D41" s="3">
        <v>560000</v>
      </c>
    </row>
    <row r="42" spans="1:4" x14ac:dyDescent="0.25">
      <c r="A42" s="2" t="s">
        <v>49</v>
      </c>
      <c r="B42" s="3" t="s">
        <v>1</v>
      </c>
      <c r="C42" s="3">
        <v>180000</v>
      </c>
      <c r="D42" s="3">
        <v>160000</v>
      </c>
    </row>
    <row r="43" spans="1:4" x14ac:dyDescent="0.25">
      <c r="A43" s="2" t="s">
        <v>23</v>
      </c>
      <c r="B43" s="3" t="s">
        <v>1</v>
      </c>
      <c r="C43" s="3">
        <v>1000000</v>
      </c>
      <c r="D43" s="3">
        <v>500000</v>
      </c>
    </row>
    <row r="44" spans="1:4" x14ac:dyDescent="0.25">
      <c r="A44" s="2" t="s">
        <v>50</v>
      </c>
      <c r="B44" s="3" t="s">
        <v>1</v>
      </c>
      <c r="C44" s="3">
        <v>200000</v>
      </c>
      <c r="D44" s="3">
        <v>100000</v>
      </c>
    </row>
    <row r="45" spans="1:4" x14ac:dyDescent="0.25">
      <c r="D45" s="1"/>
    </row>
    <row r="46" spans="1:4" x14ac:dyDescent="0.25">
      <c r="A46" t="s">
        <v>31</v>
      </c>
    </row>
    <row r="47" spans="1:4" x14ac:dyDescent="0.25">
      <c r="A47" s="62" t="s">
        <v>35</v>
      </c>
      <c r="B47" s="62"/>
      <c r="C47" s="62"/>
      <c r="D47" s="62"/>
    </row>
    <row r="48" spans="1:4" x14ac:dyDescent="0.25">
      <c r="A48" s="2" t="s">
        <v>0</v>
      </c>
      <c r="B48" s="3" t="s">
        <v>32</v>
      </c>
      <c r="C48" s="3" t="s">
        <v>33</v>
      </c>
      <c r="D48" s="10" t="s">
        <v>34</v>
      </c>
    </row>
    <row r="49" spans="1:4" x14ac:dyDescent="0.25">
      <c r="A49" s="2" t="s">
        <v>36</v>
      </c>
      <c r="B49" s="3">
        <v>4</v>
      </c>
      <c r="C49" s="3">
        <v>2</v>
      </c>
      <c r="D49" s="22">
        <v>0</v>
      </c>
    </row>
    <row r="50" spans="1:4" x14ac:dyDescent="0.25">
      <c r="A50" s="2" t="s">
        <v>37</v>
      </c>
      <c r="B50" s="3">
        <v>5</v>
      </c>
      <c r="C50" s="3">
        <v>3</v>
      </c>
      <c r="D50" s="23">
        <v>1</v>
      </c>
    </row>
    <row r="51" spans="1:4" x14ac:dyDescent="0.25">
      <c r="A51" s="2" t="s">
        <v>38</v>
      </c>
      <c r="B51" s="3">
        <v>32000</v>
      </c>
      <c r="C51" s="3">
        <v>29000</v>
      </c>
      <c r="D51" s="3">
        <v>6000</v>
      </c>
    </row>
    <row r="52" spans="1:4" x14ac:dyDescent="0.25">
      <c r="A52" s="2" t="s">
        <v>39</v>
      </c>
      <c r="B52" s="3">
        <v>36000</v>
      </c>
      <c r="C52" s="3">
        <v>32000</v>
      </c>
      <c r="D52" s="3">
        <v>7000</v>
      </c>
    </row>
    <row r="53" spans="1:4" x14ac:dyDescent="0.25">
      <c r="A53" s="2" t="s">
        <v>40</v>
      </c>
      <c r="B53" s="3">
        <v>12</v>
      </c>
      <c r="C53" s="3">
        <v>5</v>
      </c>
      <c r="D53" s="3">
        <v>3</v>
      </c>
    </row>
    <row r="54" spans="1:4" x14ac:dyDescent="0.25">
      <c r="A54" s="6"/>
      <c r="B54" s="27"/>
      <c r="C54" s="27"/>
      <c r="D54" s="27"/>
    </row>
    <row r="55" spans="1:4" x14ac:dyDescent="0.25">
      <c r="A55" s="28" t="s">
        <v>51</v>
      </c>
      <c r="D55" s="1"/>
    </row>
    <row r="56" spans="1:4" x14ac:dyDescent="0.25">
      <c r="A56" s="28" t="s">
        <v>52</v>
      </c>
      <c r="D56" s="24"/>
    </row>
    <row r="57" spans="1:4" x14ac:dyDescent="0.25">
      <c r="A57" s="28" t="s">
        <v>53</v>
      </c>
      <c r="D57" s="24"/>
    </row>
    <row r="58" spans="1:4" x14ac:dyDescent="0.25">
      <c r="A58" s="28" t="s">
        <v>54</v>
      </c>
      <c r="D58" s="24"/>
    </row>
    <row r="59" spans="1:4" x14ac:dyDescent="0.25">
      <c r="A59" s="28" t="s">
        <v>55</v>
      </c>
      <c r="D59" s="24"/>
    </row>
    <row r="60" spans="1:4" x14ac:dyDescent="0.25">
      <c r="A60" s="28" t="s">
        <v>56</v>
      </c>
      <c r="D60" s="24"/>
    </row>
    <row r="61" spans="1:4" x14ac:dyDescent="0.25">
      <c r="A61" s="28" t="s">
        <v>57</v>
      </c>
      <c r="D61" s="24"/>
    </row>
    <row r="62" spans="1:4" x14ac:dyDescent="0.25">
      <c r="A62" s="28" t="s">
        <v>58</v>
      </c>
      <c r="D62" s="24"/>
    </row>
    <row r="63" spans="1:4" x14ac:dyDescent="0.25">
      <c r="A63" s="28" t="s">
        <v>59</v>
      </c>
      <c r="D63" s="24"/>
    </row>
    <row r="64" spans="1:4" x14ac:dyDescent="0.25">
      <c r="A64" s="28" t="s">
        <v>60</v>
      </c>
      <c r="D64" s="24"/>
    </row>
    <row r="65" spans="1:6" x14ac:dyDescent="0.25">
      <c r="A65" s="28" t="s">
        <v>61</v>
      </c>
      <c r="D65" s="24"/>
    </row>
    <row r="66" spans="1:6" x14ac:dyDescent="0.25">
      <c r="A66" s="28" t="s">
        <v>62</v>
      </c>
      <c r="D66" s="24"/>
    </row>
    <row r="67" spans="1:6" x14ac:dyDescent="0.25">
      <c r="D67" s="24"/>
    </row>
    <row r="68" spans="1:6" x14ac:dyDescent="0.25">
      <c r="A68" s="28" t="s">
        <v>63</v>
      </c>
      <c r="D68" s="24"/>
    </row>
    <row r="76" spans="1:6" x14ac:dyDescent="0.25">
      <c r="F76" s="21"/>
    </row>
    <row r="77" spans="1:6" x14ac:dyDescent="0.25">
      <c r="D77" s="1"/>
    </row>
    <row r="78" spans="1:6" x14ac:dyDescent="0.25">
      <c r="D78" s="20"/>
    </row>
    <row r="79" spans="1:6" x14ac:dyDescent="0.25">
      <c r="D79" s="20"/>
    </row>
    <row r="80" spans="1:6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</sheetData>
  <mergeCells count="20">
    <mergeCell ref="A47:D47"/>
    <mergeCell ref="A34:B34"/>
    <mergeCell ref="A26:B26"/>
    <mergeCell ref="A27:B27"/>
    <mergeCell ref="A28:B28"/>
    <mergeCell ref="A29:B29"/>
    <mergeCell ref="A30:B30"/>
    <mergeCell ref="A31:B31"/>
    <mergeCell ref="A25:B25"/>
    <mergeCell ref="A1:D1"/>
    <mergeCell ref="A2:D2"/>
    <mergeCell ref="A3:D3"/>
    <mergeCell ref="A16:D16"/>
    <mergeCell ref="A17:D17"/>
    <mergeCell ref="A18:D18"/>
    <mergeCell ref="A19:B19"/>
    <mergeCell ref="A20:B20"/>
    <mergeCell ref="A22:B22"/>
    <mergeCell ref="A23:B23"/>
    <mergeCell ref="A24:B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E573-E961-419A-8078-33FD9BA5B345}">
  <dimension ref="A3:J74"/>
  <sheetViews>
    <sheetView topLeftCell="A64" workbookViewId="0">
      <selection activeCell="H84" sqref="H84"/>
    </sheetView>
  </sheetViews>
  <sheetFormatPr defaultRowHeight="15" x14ac:dyDescent="0.25"/>
  <cols>
    <col min="1" max="1" width="36.140625" bestFit="1" customWidth="1"/>
    <col min="2" max="2" width="22.42578125" style="1" customWidth="1"/>
    <col min="3" max="3" width="22.7109375" style="1" bestFit="1" customWidth="1"/>
    <col min="4" max="4" width="22" style="1" bestFit="1" customWidth="1"/>
    <col min="6" max="6" width="10.5703125" bestFit="1" customWidth="1"/>
    <col min="7" max="8" width="14.28515625" style="1" bestFit="1" customWidth="1"/>
    <col min="10" max="10" width="15.28515625" style="1" bestFit="1" customWidth="1"/>
  </cols>
  <sheetData>
    <row r="3" spans="1:5" x14ac:dyDescent="0.25">
      <c r="A3" s="62" t="s">
        <v>70</v>
      </c>
      <c r="B3" s="62"/>
      <c r="C3" s="62"/>
      <c r="D3" s="62"/>
    </row>
    <row r="4" spans="1:5" x14ac:dyDescent="0.25">
      <c r="A4" s="35" t="s">
        <v>67</v>
      </c>
      <c r="B4" s="39"/>
      <c r="C4" s="37"/>
      <c r="D4" s="3" t="s">
        <v>66</v>
      </c>
    </row>
    <row r="5" spans="1:5" x14ac:dyDescent="0.25">
      <c r="A5" s="31" t="s">
        <v>64</v>
      </c>
      <c r="B5" s="27"/>
      <c r="C5" s="38"/>
      <c r="D5" s="7">
        <f>60000*200</f>
        <v>12000000</v>
      </c>
    </row>
    <row r="6" spans="1:5" x14ac:dyDescent="0.25">
      <c r="A6" s="31" t="s">
        <v>65</v>
      </c>
      <c r="B6" s="27"/>
      <c r="C6" s="38"/>
      <c r="D6" s="7">
        <f>40000*250</f>
        <v>10000000</v>
      </c>
    </row>
    <row r="7" spans="1:5" x14ac:dyDescent="0.25">
      <c r="A7" s="35" t="s">
        <v>66</v>
      </c>
      <c r="B7" s="39"/>
      <c r="C7" s="37"/>
      <c r="D7" s="3">
        <f>SUM(D5:D6)</f>
        <v>22000000</v>
      </c>
    </row>
    <row r="8" spans="1:5" x14ac:dyDescent="0.25">
      <c r="A8" s="43" t="s">
        <v>115</v>
      </c>
    </row>
    <row r="9" spans="1:5" x14ac:dyDescent="0.25">
      <c r="A9" t="s">
        <v>68</v>
      </c>
      <c r="D9" s="1">
        <f>22000000*70%</f>
        <v>15399999.999999998</v>
      </c>
      <c r="E9" t="s">
        <v>153</v>
      </c>
    </row>
    <row r="10" spans="1:5" x14ac:dyDescent="0.25">
      <c r="A10" t="s">
        <v>69</v>
      </c>
      <c r="D10" s="1">
        <f>30%*22000000</f>
        <v>6600000</v>
      </c>
    </row>
    <row r="13" spans="1:5" x14ac:dyDescent="0.25">
      <c r="A13" s="62" t="s">
        <v>71</v>
      </c>
      <c r="B13" s="62"/>
      <c r="C13" s="62"/>
      <c r="D13" s="62"/>
    </row>
    <row r="14" spans="1:5" x14ac:dyDescent="0.25">
      <c r="A14" s="35" t="s">
        <v>67</v>
      </c>
      <c r="B14" s="37"/>
      <c r="C14" s="9" t="s">
        <v>78</v>
      </c>
      <c r="D14" s="9" t="s">
        <v>77</v>
      </c>
    </row>
    <row r="15" spans="1:5" x14ac:dyDescent="0.25">
      <c r="A15" s="31" t="s">
        <v>72</v>
      </c>
      <c r="B15" s="38"/>
      <c r="C15" s="7">
        <f>SOAL!C35</f>
        <v>60000</v>
      </c>
      <c r="D15" s="7">
        <f>SOAL!D35</f>
        <v>40000</v>
      </c>
    </row>
    <row r="16" spans="1:5" x14ac:dyDescent="0.25">
      <c r="A16" s="31" t="s">
        <v>73</v>
      </c>
      <c r="B16" s="38"/>
      <c r="C16" s="7">
        <f>SOAL!C38</f>
        <v>25000</v>
      </c>
      <c r="D16" s="7">
        <f>SOAL!D38</f>
        <v>9000</v>
      </c>
    </row>
    <row r="17" spans="1:6" x14ac:dyDescent="0.25">
      <c r="A17" s="31" t="s">
        <v>74</v>
      </c>
      <c r="B17" s="38"/>
      <c r="C17" s="7">
        <f>C15+C16</f>
        <v>85000</v>
      </c>
      <c r="D17" s="7">
        <f>D15+D16</f>
        <v>49000</v>
      </c>
    </row>
    <row r="18" spans="1:6" x14ac:dyDescent="0.25">
      <c r="A18" s="31" t="s">
        <v>75</v>
      </c>
      <c r="B18" s="38"/>
      <c r="C18" s="7">
        <f>SOAL!C37</f>
        <v>20000</v>
      </c>
      <c r="D18" s="7">
        <f>SOAL!D37</f>
        <v>8000</v>
      </c>
    </row>
    <row r="19" spans="1:6" x14ac:dyDescent="0.25">
      <c r="A19" s="33" t="s">
        <v>76</v>
      </c>
      <c r="B19" s="40"/>
      <c r="C19" s="8">
        <f>C17-C18</f>
        <v>65000</v>
      </c>
      <c r="D19" s="8">
        <f>D17-D18</f>
        <v>41000</v>
      </c>
    </row>
    <row r="22" spans="1:6" x14ac:dyDescent="0.25">
      <c r="A22" s="62" t="s">
        <v>79</v>
      </c>
      <c r="B22" s="62"/>
      <c r="C22" s="62"/>
      <c r="D22" s="62"/>
    </row>
    <row r="23" spans="1:6" x14ac:dyDescent="0.25">
      <c r="A23" s="2" t="s">
        <v>67</v>
      </c>
      <c r="B23" s="3" t="s">
        <v>81</v>
      </c>
      <c r="C23" s="2" t="s">
        <v>80</v>
      </c>
      <c r="D23" s="2" t="s">
        <v>82</v>
      </c>
    </row>
    <row r="24" spans="1:6" x14ac:dyDescent="0.25">
      <c r="A24" s="4" t="s">
        <v>83</v>
      </c>
      <c r="B24" s="7">
        <f>65000*4</f>
        <v>260000</v>
      </c>
      <c r="C24" s="7">
        <f>65000*2</f>
        <v>130000</v>
      </c>
      <c r="D24" s="7">
        <f>65000*0</f>
        <v>0</v>
      </c>
    </row>
    <row r="25" spans="1:6" x14ac:dyDescent="0.25">
      <c r="A25" s="4" t="s">
        <v>84</v>
      </c>
      <c r="B25" s="7">
        <f>41000*5</f>
        <v>205000</v>
      </c>
      <c r="C25" s="7">
        <f>41000*3</f>
        <v>123000</v>
      </c>
      <c r="D25" s="7">
        <f>41000*1</f>
        <v>41000</v>
      </c>
    </row>
    <row r="26" spans="1:6" x14ac:dyDescent="0.25">
      <c r="A26" s="4" t="s">
        <v>85</v>
      </c>
      <c r="B26" s="7">
        <f>SUM(B24:B25)</f>
        <v>465000</v>
      </c>
      <c r="C26" s="7">
        <f t="shared" ref="C26:D26" si="0">SUM(C24:C25)</f>
        <v>253000</v>
      </c>
      <c r="D26" s="7">
        <f t="shared" si="0"/>
        <v>41000</v>
      </c>
    </row>
    <row r="27" spans="1:6" x14ac:dyDescent="0.25">
      <c r="A27" s="5" t="s">
        <v>75</v>
      </c>
      <c r="B27" s="8">
        <f>B26*12</f>
        <v>5580000</v>
      </c>
      <c r="C27" s="8">
        <f>C26*5</f>
        <v>1265000</v>
      </c>
      <c r="D27" s="8">
        <f>D26*3</f>
        <v>123000</v>
      </c>
      <c r="F27" s="51"/>
    </row>
    <row r="28" spans="1:6" x14ac:dyDescent="0.25">
      <c r="F28" s="51"/>
    </row>
    <row r="29" spans="1:6" x14ac:dyDescent="0.25">
      <c r="A29" s="62" t="s">
        <v>86</v>
      </c>
      <c r="B29" s="62"/>
      <c r="C29" s="62"/>
      <c r="D29" s="62"/>
      <c r="F29" s="51"/>
    </row>
    <row r="30" spans="1:6" x14ac:dyDescent="0.25">
      <c r="A30" s="2" t="s">
        <v>67</v>
      </c>
      <c r="B30" s="3" t="s">
        <v>81</v>
      </c>
      <c r="C30" s="2" t="s">
        <v>80</v>
      </c>
      <c r="D30" s="2" t="s">
        <v>82</v>
      </c>
      <c r="F30" s="51"/>
    </row>
    <row r="31" spans="1:6" x14ac:dyDescent="0.25">
      <c r="A31" s="4" t="s">
        <v>87</v>
      </c>
      <c r="B31" s="7">
        <f>B26</f>
        <v>465000</v>
      </c>
      <c r="C31" s="7">
        <f t="shared" ref="C31:D31" si="1">C26</f>
        <v>253000</v>
      </c>
      <c r="D31" s="7">
        <f t="shared" si="1"/>
        <v>41000</v>
      </c>
      <c r="F31" s="51"/>
    </row>
    <row r="32" spans="1:6" x14ac:dyDescent="0.25">
      <c r="A32" s="4" t="s">
        <v>88</v>
      </c>
      <c r="B32" s="7">
        <f>SOAL!B52</f>
        <v>36000</v>
      </c>
      <c r="C32" s="7">
        <f>SOAL!C52</f>
        <v>32000</v>
      </c>
      <c r="D32" s="7">
        <f>SOAL!D52</f>
        <v>7000</v>
      </c>
      <c r="F32" s="51"/>
    </row>
    <row r="33" spans="1:6" x14ac:dyDescent="0.25">
      <c r="A33" s="4" t="s">
        <v>66</v>
      </c>
      <c r="B33" s="7">
        <f>SUM(B31:B32)</f>
        <v>501000</v>
      </c>
      <c r="C33" s="7">
        <f t="shared" ref="C33" si="2">SUM(C31:C32)</f>
        <v>285000</v>
      </c>
      <c r="D33" s="7">
        <f t="shared" ref="D33" si="3">SUM(D31:D32)</f>
        <v>48000</v>
      </c>
      <c r="F33" s="51"/>
    </row>
    <row r="34" spans="1:6" x14ac:dyDescent="0.25">
      <c r="A34" s="4" t="s">
        <v>75</v>
      </c>
      <c r="B34" s="7">
        <f>SOAL!B51</f>
        <v>32000</v>
      </c>
      <c r="C34" s="7">
        <f>SOAL!C51</f>
        <v>29000</v>
      </c>
      <c r="D34" s="7">
        <f>SOAL!D51</f>
        <v>6000</v>
      </c>
      <c r="F34" s="51"/>
    </row>
    <row r="35" spans="1:6" x14ac:dyDescent="0.25">
      <c r="A35" s="4" t="s">
        <v>89</v>
      </c>
      <c r="B35" s="7">
        <f>B33-B34</f>
        <v>469000</v>
      </c>
      <c r="C35" s="7">
        <f t="shared" ref="C35:D35" si="4">C33-C34</f>
        <v>256000</v>
      </c>
      <c r="D35" s="7">
        <f t="shared" si="4"/>
        <v>42000</v>
      </c>
      <c r="F35" s="51"/>
    </row>
    <row r="36" spans="1:6" x14ac:dyDescent="0.25">
      <c r="A36" s="5" t="s">
        <v>90</v>
      </c>
      <c r="B36" s="8">
        <f>B35*12</f>
        <v>5628000</v>
      </c>
      <c r="C36" s="8">
        <f>C35*5</f>
        <v>1280000</v>
      </c>
      <c r="D36" s="8">
        <f>D35*3</f>
        <v>126000</v>
      </c>
      <c r="F36" s="51"/>
    </row>
    <row r="37" spans="1:6" x14ac:dyDescent="0.25">
      <c r="A37" s="42" t="s">
        <v>91</v>
      </c>
    </row>
    <row r="38" spans="1:6" x14ac:dyDescent="0.25">
      <c r="A38" s="42" t="s">
        <v>92</v>
      </c>
      <c r="B38" s="27">
        <f>B36+C36+D36</f>
        <v>7034000</v>
      </c>
      <c r="F38" s="51"/>
    </row>
    <row r="39" spans="1:6" x14ac:dyDescent="0.25">
      <c r="A39" s="42" t="s">
        <v>93</v>
      </c>
      <c r="B39" s="27">
        <f>50%*B38</f>
        <v>3517000</v>
      </c>
      <c r="C39" s="1" t="s">
        <v>154</v>
      </c>
    </row>
    <row r="40" spans="1:6" x14ac:dyDescent="0.25">
      <c r="A40" s="42" t="s">
        <v>94</v>
      </c>
      <c r="B40" s="27">
        <f>50%*B38</f>
        <v>3517000</v>
      </c>
      <c r="F40" s="51"/>
    </row>
    <row r="43" spans="1:6" x14ac:dyDescent="0.25">
      <c r="A43" s="62" t="s">
        <v>95</v>
      </c>
      <c r="B43" s="62"/>
      <c r="C43" s="62"/>
      <c r="D43" s="62"/>
    </row>
    <row r="44" spans="1:6" x14ac:dyDescent="0.25">
      <c r="A44" s="35" t="s">
        <v>67</v>
      </c>
      <c r="B44" s="39"/>
      <c r="C44" s="37"/>
      <c r="D44" s="3" t="s">
        <v>66</v>
      </c>
    </row>
    <row r="45" spans="1:6" x14ac:dyDescent="0.25">
      <c r="A45" s="31" t="s">
        <v>96</v>
      </c>
      <c r="B45" s="27"/>
      <c r="C45" s="38"/>
      <c r="D45" s="7">
        <f>65000*2*12</f>
        <v>1560000</v>
      </c>
    </row>
    <row r="46" spans="1:6" x14ac:dyDescent="0.25">
      <c r="A46" s="31" t="s">
        <v>97</v>
      </c>
      <c r="B46" s="27"/>
      <c r="C46" s="38"/>
      <c r="D46" s="7">
        <f>41000*3*16</f>
        <v>1968000</v>
      </c>
    </row>
    <row r="47" spans="1:6" x14ac:dyDescent="0.25">
      <c r="A47" s="35" t="s">
        <v>66</v>
      </c>
      <c r="B47" s="39"/>
      <c r="C47" s="37"/>
      <c r="D47" s="3">
        <f>SUM(D45:D46)</f>
        <v>3528000</v>
      </c>
    </row>
    <row r="48" spans="1:6" x14ac:dyDescent="0.25">
      <c r="A48" s="43" t="s">
        <v>98</v>
      </c>
    </row>
    <row r="52" spans="1:6" x14ac:dyDescent="0.25">
      <c r="A52" s="62" t="s">
        <v>99</v>
      </c>
      <c r="B52" s="62"/>
      <c r="C52" s="62"/>
      <c r="D52" s="62"/>
    </row>
    <row r="53" spans="1:6" x14ac:dyDescent="0.25">
      <c r="A53" s="35" t="s">
        <v>67</v>
      </c>
      <c r="B53" s="39"/>
      <c r="C53" s="37"/>
      <c r="D53" s="3" t="s">
        <v>66</v>
      </c>
    </row>
    <row r="54" spans="1:6" x14ac:dyDescent="0.25">
      <c r="A54" s="31" t="s">
        <v>100</v>
      </c>
      <c r="B54" s="27"/>
      <c r="C54" s="38"/>
      <c r="D54" s="7">
        <f>65000*2*20</f>
        <v>2600000</v>
      </c>
    </row>
    <row r="55" spans="1:6" x14ac:dyDescent="0.25">
      <c r="A55" s="31" t="s">
        <v>101</v>
      </c>
      <c r="B55" s="27"/>
      <c r="C55" s="38"/>
      <c r="D55" s="7">
        <f>41000*3*20</f>
        <v>2460000</v>
      </c>
    </row>
    <row r="56" spans="1:6" x14ac:dyDescent="0.25">
      <c r="A56" s="35" t="s">
        <v>66</v>
      </c>
      <c r="B56" s="39"/>
      <c r="C56" s="37"/>
      <c r="D56" s="3">
        <f>SUM(D54:D55)</f>
        <v>5060000</v>
      </c>
    </row>
    <row r="57" spans="1:6" x14ac:dyDescent="0.25">
      <c r="A57" s="43" t="s">
        <v>102</v>
      </c>
    </row>
    <row r="58" spans="1:6" x14ac:dyDescent="0.25">
      <c r="A58" s="43" t="s">
        <v>103</v>
      </c>
      <c r="B58" s="1">
        <f>20%*D56</f>
        <v>1012000</v>
      </c>
      <c r="F58" s="51"/>
    </row>
    <row r="59" spans="1:6" x14ac:dyDescent="0.25">
      <c r="A59" s="43" t="s">
        <v>104</v>
      </c>
      <c r="B59" s="1">
        <f>80%*D56</f>
        <v>4048000</v>
      </c>
    </row>
    <row r="60" spans="1:6" x14ac:dyDescent="0.25">
      <c r="A60" s="43" t="s">
        <v>105</v>
      </c>
      <c r="B60" s="1">
        <f>B59*80%</f>
        <v>3238400</v>
      </c>
      <c r="C60" s="1" t="s">
        <v>154</v>
      </c>
    </row>
    <row r="61" spans="1:6" x14ac:dyDescent="0.25">
      <c r="A61" s="43" t="s">
        <v>106</v>
      </c>
      <c r="B61" s="1">
        <f>20%*B59</f>
        <v>809600</v>
      </c>
    </row>
    <row r="64" spans="1:6" x14ac:dyDescent="0.25">
      <c r="A64" s="62" t="s">
        <v>116</v>
      </c>
      <c r="B64" s="62"/>
      <c r="C64" s="62"/>
      <c r="D64" s="62"/>
    </row>
    <row r="65" spans="1:6" x14ac:dyDescent="0.25">
      <c r="A65" s="35" t="s">
        <v>67</v>
      </c>
      <c r="B65" s="37"/>
      <c r="C65" s="9" t="s">
        <v>112</v>
      </c>
      <c r="D65" s="9" t="s">
        <v>113</v>
      </c>
    </row>
    <row r="66" spans="1:6" x14ac:dyDescent="0.25">
      <c r="A66" s="31" t="s">
        <v>107</v>
      </c>
      <c r="B66" s="38"/>
      <c r="C66" s="7">
        <f>65000*4*12</f>
        <v>3120000</v>
      </c>
      <c r="D66" s="7">
        <f>41000*5*12</f>
        <v>2460000</v>
      </c>
    </row>
    <row r="67" spans="1:6" x14ac:dyDescent="0.25">
      <c r="A67" s="31" t="s">
        <v>108</v>
      </c>
      <c r="B67" s="38"/>
      <c r="C67" s="7">
        <f>65000*2*5</f>
        <v>650000</v>
      </c>
      <c r="D67" s="7">
        <f>41000*3*5</f>
        <v>615000</v>
      </c>
    </row>
    <row r="68" spans="1:6" x14ac:dyDescent="0.25">
      <c r="A68" s="31" t="s">
        <v>109</v>
      </c>
      <c r="B68" s="38"/>
      <c r="C68" s="7"/>
      <c r="D68" s="7">
        <f>41000*1*3</f>
        <v>123000</v>
      </c>
    </row>
    <row r="69" spans="1:6" x14ac:dyDescent="0.25">
      <c r="A69" s="31" t="s">
        <v>110</v>
      </c>
      <c r="B69" s="38"/>
      <c r="C69" s="7">
        <f>D45</f>
        <v>1560000</v>
      </c>
      <c r="D69" s="7">
        <f>D46</f>
        <v>1968000</v>
      </c>
    </row>
    <row r="70" spans="1:6" x14ac:dyDescent="0.25">
      <c r="A70" s="31" t="s">
        <v>111</v>
      </c>
      <c r="B70" s="38"/>
      <c r="C70" s="7">
        <f>D54</f>
        <v>2600000</v>
      </c>
      <c r="D70" s="7">
        <f>D55</f>
        <v>2460000</v>
      </c>
    </row>
    <row r="71" spans="1:6" x14ac:dyDescent="0.25">
      <c r="A71" s="31" t="s">
        <v>66</v>
      </c>
      <c r="B71" s="38"/>
      <c r="C71" s="7">
        <f>SUM(C66:C70)</f>
        <v>7930000</v>
      </c>
      <c r="D71" s="7">
        <f>SUM(D66:D70)</f>
        <v>7626000</v>
      </c>
    </row>
    <row r="72" spans="1:6" x14ac:dyDescent="0.25">
      <c r="A72" s="33" t="s">
        <v>114</v>
      </c>
      <c r="B72" s="40"/>
      <c r="C72" s="8">
        <f>C71/65000</f>
        <v>122</v>
      </c>
      <c r="D72" s="8">
        <f>D71/41000</f>
        <v>186</v>
      </c>
    </row>
    <row r="74" spans="1:6" x14ac:dyDescent="0.25">
      <c r="F74" s="51"/>
    </row>
  </sheetData>
  <mergeCells count="7">
    <mergeCell ref="A64:D64"/>
    <mergeCell ref="A3:D3"/>
    <mergeCell ref="A13:D13"/>
    <mergeCell ref="A22:D22"/>
    <mergeCell ref="A29:D29"/>
    <mergeCell ref="A43:D43"/>
    <mergeCell ref="A52:D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EF31-F482-462B-9CD6-0535D49006E1}">
  <dimension ref="A3:D22"/>
  <sheetViews>
    <sheetView topLeftCell="A8" workbookViewId="0">
      <selection activeCell="E29" sqref="E29"/>
    </sheetView>
  </sheetViews>
  <sheetFormatPr defaultRowHeight="15" x14ac:dyDescent="0.25"/>
  <cols>
    <col min="1" max="1" width="38.28515625" customWidth="1"/>
    <col min="2" max="2" width="11.5703125" style="1" bestFit="1" customWidth="1"/>
    <col min="3" max="3" width="9.140625" style="1"/>
    <col min="4" max="4" width="14.28515625" style="1" bestFit="1" customWidth="1"/>
  </cols>
  <sheetData>
    <row r="3" spans="1:4" x14ac:dyDescent="0.25">
      <c r="A3" s="62" t="s">
        <v>117</v>
      </c>
      <c r="B3" s="62"/>
      <c r="C3" s="62"/>
      <c r="D3" s="62"/>
    </row>
    <row r="4" spans="1:4" x14ac:dyDescent="0.25">
      <c r="A4" s="35" t="s">
        <v>67</v>
      </c>
      <c r="B4" s="39"/>
      <c r="C4" s="37"/>
      <c r="D4" s="3" t="s">
        <v>66</v>
      </c>
    </row>
    <row r="5" spans="1:4" x14ac:dyDescent="0.25">
      <c r="A5" s="31" t="s">
        <v>118</v>
      </c>
      <c r="B5" s="27"/>
      <c r="C5" s="38"/>
      <c r="D5" s="7">
        <f>680000-180000</f>
        <v>500000</v>
      </c>
    </row>
    <row r="6" spans="1:4" x14ac:dyDescent="0.25">
      <c r="A6" s="31" t="s">
        <v>119</v>
      </c>
      <c r="B6" s="27"/>
      <c r="C6" s="38"/>
      <c r="D6" s="7">
        <f>560000-160000</f>
        <v>400000</v>
      </c>
    </row>
    <row r="7" spans="1:4" x14ac:dyDescent="0.25">
      <c r="A7" s="35" t="s">
        <v>66</v>
      </c>
      <c r="B7" s="39"/>
      <c r="C7" s="37"/>
      <c r="D7" s="3">
        <f>SUM(D5:D6)</f>
        <v>900000</v>
      </c>
    </row>
    <row r="8" spans="1:4" x14ac:dyDescent="0.25">
      <c r="A8" s="43" t="s">
        <v>120</v>
      </c>
    </row>
    <row r="9" spans="1:4" x14ac:dyDescent="0.25">
      <c r="A9" s="43" t="s">
        <v>121</v>
      </c>
      <c r="B9" s="1">
        <v>340000</v>
      </c>
    </row>
    <row r="10" spans="1:4" x14ac:dyDescent="0.25">
      <c r="A10" s="43" t="s">
        <v>122</v>
      </c>
      <c r="B10" s="1">
        <f>60%*D7</f>
        <v>540000</v>
      </c>
    </row>
    <row r="11" spans="1:4" x14ac:dyDescent="0.25">
      <c r="A11" s="43" t="s">
        <v>123</v>
      </c>
      <c r="B11" s="1">
        <f>40%*D7</f>
        <v>360000</v>
      </c>
    </row>
    <row r="14" spans="1:4" x14ac:dyDescent="0.25">
      <c r="A14" s="62" t="s">
        <v>124</v>
      </c>
      <c r="B14" s="62"/>
      <c r="C14" s="62"/>
      <c r="D14" s="62"/>
    </row>
    <row r="15" spans="1:4" x14ac:dyDescent="0.25">
      <c r="A15" s="35" t="s">
        <v>67</v>
      </c>
      <c r="B15" s="39"/>
      <c r="C15" s="37"/>
      <c r="D15" s="3" t="s">
        <v>66</v>
      </c>
    </row>
    <row r="16" spans="1:4" x14ac:dyDescent="0.25">
      <c r="A16" s="31" t="s">
        <v>125</v>
      </c>
      <c r="B16" s="27"/>
      <c r="C16" s="38"/>
      <c r="D16" s="7">
        <f>500000-100000</f>
        <v>400000</v>
      </c>
    </row>
    <row r="17" spans="1:4" x14ac:dyDescent="0.25">
      <c r="A17" s="31" t="s">
        <v>126</v>
      </c>
      <c r="B17" s="27"/>
      <c r="C17" s="38"/>
      <c r="D17" s="7">
        <f>1000000-200000</f>
        <v>800000</v>
      </c>
    </row>
    <row r="18" spans="1:4" x14ac:dyDescent="0.25">
      <c r="A18" s="35" t="s">
        <v>66</v>
      </c>
      <c r="B18" s="39"/>
      <c r="C18" s="37"/>
      <c r="D18" s="3">
        <f>SUM(D16:D17)</f>
        <v>1200000</v>
      </c>
    </row>
    <row r="19" spans="1:4" x14ac:dyDescent="0.25">
      <c r="A19" s="43" t="s">
        <v>120</v>
      </c>
    </row>
    <row r="20" spans="1:4" x14ac:dyDescent="0.25">
      <c r="A20" s="43" t="s">
        <v>127</v>
      </c>
      <c r="B20" s="1">
        <v>300000</v>
      </c>
    </row>
    <row r="21" spans="1:4" x14ac:dyDescent="0.25">
      <c r="A21" s="43" t="s">
        <v>122</v>
      </c>
      <c r="B21" s="1">
        <f>60%*D18</f>
        <v>720000</v>
      </c>
    </row>
    <row r="22" spans="1:4" x14ac:dyDescent="0.25">
      <c r="A22" s="43" t="s">
        <v>123</v>
      </c>
      <c r="B22" s="1">
        <f>40%*D18</f>
        <v>480000</v>
      </c>
    </row>
  </sheetData>
  <mergeCells count="2">
    <mergeCell ref="A3:D3"/>
    <mergeCell ref="A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C102-CDE0-4370-9D15-F79380DF17E2}">
  <dimension ref="A4:K66"/>
  <sheetViews>
    <sheetView workbookViewId="0">
      <selection activeCell="E1" sqref="E1"/>
    </sheetView>
  </sheetViews>
  <sheetFormatPr defaultRowHeight="15" x14ac:dyDescent="0.25"/>
  <cols>
    <col min="1" max="1" width="25.140625" bestFit="1" customWidth="1"/>
    <col min="2" max="2" width="25" style="1" bestFit="1" customWidth="1"/>
    <col min="3" max="3" width="24.85546875" bestFit="1" customWidth="1"/>
    <col min="4" max="4" width="19" style="1" bestFit="1" customWidth="1"/>
    <col min="11" max="11" width="13.28515625" style="1" bestFit="1" customWidth="1"/>
  </cols>
  <sheetData>
    <row r="4" spans="1:4" x14ac:dyDescent="0.25">
      <c r="A4" s="62" t="s">
        <v>128</v>
      </c>
      <c r="B4" s="62"/>
      <c r="C4" s="62"/>
      <c r="D4" s="62"/>
    </row>
    <row r="5" spans="1:4" x14ac:dyDescent="0.25">
      <c r="A5" s="44" t="s">
        <v>147</v>
      </c>
      <c r="B5" s="45" t="s">
        <v>129</v>
      </c>
      <c r="C5" s="45" t="s">
        <v>130</v>
      </c>
      <c r="D5" s="45" t="s">
        <v>74</v>
      </c>
    </row>
    <row r="6" spans="1:4" x14ac:dyDescent="0.25">
      <c r="A6" s="4" t="s">
        <v>131</v>
      </c>
      <c r="B6" s="7">
        <f>SOAL!C35*SOAL!C36</f>
        <v>12000000</v>
      </c>
      <c r="C6" s="7">
        <f>SOAL!D35*SOAL!D36</f>
        <v>10000000</v>
      </c>
      <c r="D6" s="7">
        <f>B6+C6</f>
        <v>22000000</v>
      </c>
    </row>
    <row r="7" spans="1:4" ht="17.25" x14ac:dyDescent="0.4">
      <c r="A7" s="4" t="s">
        <v>132</v>
      </c>
      <c r="B7" s="47">
        <f>60000*Produksi!C72</f>
        <v>7320000</v>
      </c>
      <c r="C7" s="47">
        <f>40000*Produksi!D72</f>
        <v>7440000</v>
      </c>
      <c r="D7" s="7">
        <f t="shared" ref="D7:D11" si="0">B7+C7</f>
        <v>14760000</v>
      </c>
    </row>
    <row r="8" spans="1:4" x14ac:dyDescent="0.25">
      <c r="A8" s="4" t="s">
        <v>133</v>
      </c>
      <c r="B8" s="7">
        <f>B6-B7</f>
        <v>4680000</v>
      </c>
      <c r="C8" s="7">
        <f>C6-C7</f>
        <v>2560000</v>
      </c>
      <c r="D8" s="7">
        <f t="shared" si="0"/>
        <v>7240000</v>
      </c>
    </row>
    <row r="9" spans="1:4" x14ac:dyDescent="0.25">
      <c r="A9" s="4" t="s">
        <v>134</v>
      </c>
      <c r="B9" s="7">
        <f>SOAL!C41</f>
        <v>680000</v>
      </c>
      <c r="C9" s="7">
        <f>SOAL!D41</f>
        <v>560000</v>
      </c>
      <c r="D9" s="7">
        <f t="shared" si="0"/>
        <v>1240000</v>
      </c>
    </row>
    <row r="10" spans="1:4" ht="17.25" x14ac:dyDescent="0.4">
      <c r="A10" s="4" t="s">
        <v>135</v>
      </c>
      <c r="B10" s="47">
        <f>SOAL!C43</f>
        <v>1000000</v>
      </c>
      <c r="C10" s="47">
        <f>SOAL!D43</f>
        <v>500000</v>
      </c>
      <c r="D10" s="7">
        <f t="shared" si="0"/>
        <v>1500000</v>
      </c>
    </row>
    <row r="11" spans="1:4" x14ac:dyDescent="0.25">
      <c r="A11" s="4" t="s">
        <v>136</v>
      </c>
      <c r="B11" s="7">
        <f>B8-B9-B10</f>
        <v>3000000</v>
      </c>
      <c r="C11" s="7">
        <f>C8-C9-C10</f>
        <v>1500000</v>
      </c>
      <c r="D11" s="7">
        <f t="shared" si="0"/>
        <v>4500000</v>
      </c>
    </row>
    <row r="12" spans="1:4" ht="17.25" x14ac:dyDescent="0.4">
      <c r="A12" s="4" t="s">
        <v>137</v>
      </c>
      <c r="B12" s="7"/>
      <c r="C12" s="7"/>
      <c r="D12" s="47">
        <f>20%*4000000</f>
        <v>800000</v>
      </c>
    </row>
    <row r="13" spans="1:4" x14ac:dyDescent="0.25">
      <c r="A13" s="4" t="s">
        <v>138</v>
      </c>
      <c r="B13" s="7"/>
      <c r="C13" s="7"/>
      <c r="D13" s="7">
        <f>D11-D12</f>
        <v>3700000</v>
      </c>
    </row>
    <row r="14" spans="1:4" ht="17.25" x14ac:dyDescent="0.4">
      <c r="A14" s="4" t="s">
        <v>139</v>
      </c>
      <c r="B14" s="7"/>
      <c r="C14" s="7"/>
      <c r="D14" s="47">
        <f>50%*D13</f>
        <v>1850000</v>
      </c>
    </row>
    <row r="15" spans="1:4" x14ac:dyDescent="0.25">
      <c r="A15" s="4" t="s">
        <v>140</v>
      </c>
      <c r="B15" s="7"/>
      <c r="C15" s="7"/>
      <c r="D15" s="7">
        <f>D13-D14</f>
        <v>1850000</v>
      </c>
    </row>
    <row r="16" spans="1:4" ht="17.25" x14ac:dyDescent="0.4">
      <c r="A16" s="4" t="s">
        <v>141</v>
      </c>
      <c r="B16" s="7"/>
      <c r="C16" s="7"/>
      <c r="D16" s="47">
        <f>D15*50%</f>
        <v>925000</v>
      </c>
    </row>
    <row r="17" spans="1:4" x14ac:dyDescent="0.25">
      <c r="A17" s="5" t="s">
        <v>142</v>
      </c>
      <c r="B17" s="8"/>
      <c r="C17" s="8"/>
      <c r="D17" s="8">
        <f>D15-D16</f>
        <v>925000</v>
      </c>
    </row>
    <row r="18" spans="1:4" x14ac:dyDescent="0.25">
      <c r="A18" s="41" t="s">
        <v>143</v>
      </c>
    </row>
    <row r="19" spans="1:4" x14ac:dyDescent="0.25">
      <c r="A19" s="41" t="s">
        <v>144</v>
      </c>
      <c r="C19" s="1">
        <f>50%*800000</f>
        <v>400000</v>
      </c>
      <c r="D19" s="1" t="s">
        <v>154</v>
      </c>
    </row>
    <row r="20" spans="1:4" x14ac:dyDescent="0.25">
      <c r="A20" s="41" t="s">
        <v>145</v>
      </c>
      <c r="C20" s="1">
        <f>50%*1850000</f>
        <v>925000</v>
      </c>
      <c r="D20" s="1" t="s">
        <v>154</v>
      </c>
    </row>
    <row r="23" spans="1:4" x14ac:dyDescent="0.25">
      <c r="A23" s="62" t="s">
        <v>146</v>
      </c>
      <c r="B23" s="62"/>
      <c r="C23" s="62"/>
      <c r="D23" s="62"/>
    </row>
    <row r="24" spans="1:4" x14ac:dyDescent="0.25">
      <c r="A24" s="58" t="s">
        <v>147</v>
      </c>
      <c r="B24" s="67"/>
      <c r="C24" s="67"/>
      <c r="D24" s="48" t="s">
        <v>66</v>
      </c>
    </row>
    <row r="25" spans="1:4" x14ac:dyDescent="0.25">
      <c r="A25" s="29" t="s">
        <v>148</v>
      </c>
      <c r="B25" s="52"/>
      <c r="C25" s="30"/>
      <c r="D25" s="49">
        <f>SOAL!B5</f>
        <v>5000000</v>
      </c>
    </row>
    <row r="26" spans="1:4" x14ac:dyDescent="0.25">
      <c r="A26" s="31" t="s">
        <v>149</v>
      </c>
      <c r="B26" s="27"/>
      <c r="C26" s="32"/>
      <c r="D26" s="38">
        <v>600000</v>
      </c>
    </row>
    <row r="27" spans="1:4" x14ac:dyDescent="0.25">
      <c r="A27" s="31" t="s">
        <v>150</v>
      </c>
      <c r="B27" s="27"/>
      <c r="C27" s="32"/>
      <c r="D27" s="38">
        <f>SOAL!B6</f>
        <v>4000000</v>
      </c>
    </row>
    <row r="28" spans="1:4" x14ac:dyDescent="0.25">
      <c r="A28" s="31" t="s">
        <v>155</v>
      </c>
      <c r="B28" s="27"/>
      <c r="C28" s="32"/>
      <c r="D28" s="38">
        <f>Produksi!D9</f>
        <v>15399999.999999998</v>
      </c>
    </row>
    <row r="29" spans="1:4" x14ac:dyDescent="0.25">
      <c r="A29" s="33" t="s">
        <v>151</v>
      </c>
      <c r="B29" s="53"/>
      <c r="C29" s="34"/>
      <c r="D29" s="40">
        <f>SUM(D25:D28)</f>
        <v>25000000</v>
      </c>
    </row>
    <row r="30" spans="1:4" x14ac:dyDescent="0.25">
      <c r="A30" s="50" t="s">
        <v>156</v>
      </c>
      <c r="B30" s="52"/>
      <c r="C30" s="30"/>
      <c r="D30" s="15"/>
    </row>
    <row r="31" spans="1:4" x14ac:dyDescent="0.25">
      <c r="A31" s="31" t="s">
        <v>157</v>
      </c>
      <c r="B31" s="27"/>
      <c r="C31" s="32"/>
      <c r="D31" s="7">
        <f>SOAL!D5</f>
        <v>2000000</v>
      </c>
    </row>
    <row r="32" spans="1:4" x14ac:dyDescent="0.25">
      <c r="A32" s="31" t="s">
        <v>158</v>
      </c>
      <c r="B32" s="27"/>
      <c r="C32" s="32"/>
      <c r="D32" s="7">
        <f>SOAL!D6</f>
        <v>1800000</v>
      </c>
    </row>
    <row r="33" spans="1:4" x14ac:dyDescent="0.25">
      <c r="A33" s="31" t="s">
        <v>159</v>
      </c>
      <c r="B33" s="27"/>
      <c r="C33" s="32"/>
      <c r="D33" s="7">
        <f>SOAL!D7</f>
        <v>1200000</v>
      </c>
    </row>
    <row r="34" spans="1:4" x14ac:dyDescent="0.25">
      <c r="A34" s="31" t="s">
        <v>160</v>
      </c>
      <c r="B34" s="27"/>
      <c r="C34" s="32"/>
      <c r="D34" s="7">
        <f>Produksi!B39</f>
        <v>3517000</v>
      </c>
    </row>
    <row r="35" spans="1:4" x14ac:dyDescent="0.25">
      <c r="A35" s="31" t="s">
        <v>110</v>
      </c>
      <c r="B35" s="27"/>
      <c r="C35" s="32"/>
      <c r="D35" s="7">
        <f>Produksi!D47</f>
        <v>3528000</v>
      </c>
    </row>
    <row r="36" spans="1:4" x14ac:dyDescent="0.25">
      <c r="A36" s="31" t="s">
        <v>161</v>
      </c>
      <c r="B36" s="27"/>
      <c r="C36" s="32"/>
      <c r="D36" s="7">
        <f>Produksi!B60</f>
        <v>3238400</v>
      </c>
    </row>
    <row r="37" spans="1:4" x14ac:dyDescent="0.25">
      <c r="A37" s="31" t="s">
        <v>134</v>
      </c>
      <c r="B37" s="27"/>
      <c r="C37" s="32"/>
      <c r="D37" s="7">
        <f>'ADM &amp; MARKETING'!B10</f>
        <v>540000</v>
      </c>
    </row>
    <row r="38" spans="1:4" x14ac:dyDescent="0.25">
      <c r="A38" s="31" t="s">
        <v>162</v>
      </c>
      <c r="B38" s="27"/>
      <c r="C38" s="32"/>
      <c r="D38" s="7">
        <f>'ADM &amp; MARKETING'!B21</f>
        <v>720000</v>
      </c>
    </row>
    <row r="39" spans="1:4" x14ac:dyDescent="0.25">
      <c r="A39" s="31" t="s">
        <v>163</v>
      </c>
      <c r="B39" s="27"/>
      <c r="C39" s="32"/>
      <c r="D39" s="7">
        <f>C19</f>
        <v>400000</v>
      </c>
    </row>
    <row r="40" spans="1:4" x14ac:dyDescent="0.25">
      <c r="A40" s="31" t="s">
        <v>164</v>
      </c>
      <c r="B40" s="27"/>
      <c r="C40" s="32"/>
      <c r="D40" s="7">
        <f>D16</f>
        <v>925000</v>
      </c>
    </row>
    <row r="41" spans="1:4" x14ac:dyDescent="0.25">
      <c r="A41" s="31" t="s">
        <v>165</v>
      </c>
      <c r="B41" s="27"/>
      <c r="C41" s="32"/>
      <c r="D41" s="7">
        <v>2000000</v>
      </c>
    </row>
    <row r="42" spans="1:4" x14ac:dyDescent="0.25">
      <c r="A42" s="31" t="s">
        <v>166</v>
      </c>
      <c r="B42" s="27"/>
      <c r="C42" s="32"/>
      <c r="D42" s="7">
        <v>1000000</v>
      </c>
    </row>
    <row r="43" spans="1:4" x14ac:dyDescent="0.25">
      <c r="A43" s="33" t="s">
        <v>167</v>
      </c>
      <c r="B43" s="53"/>
      <c r="C43" s="34"/>
      <c r="D43" s="8">
        <f>SUM(D31:D42)</f>
        <v>20868400</v>
      </c>
    </row>
    <row r="44" spans="1:4" x14ac:dyDescent="0.25">
      <c r="A44" s="35" t="s">
        <v>168</v>
      </c>
      <c r="B44" s="39"/>
      <c r="C44" s="36"/>
      <c r="D44" s="3">
        <f>D29-D43</f>
        <v>4131600</v>
      </c>
    </row>
    <row r="47" spans="1:4" x14ac:dyDescent="0.25">
      <c r="A47" s="68" t="s">
        <v>169</v>
      </c>
      <c r="B47" s="68"/>
      <c r="C47" s="68"/>
      <c r="D47" s="68"/>
    </row>
    <row r="48" spans="1:4" x14ac:dyDescent="0.25">
      <c r="A48" s="62" t="s">
        <v>170</v>
      </c>
      <c r="B48" s="62"/>
      <c r="C48" s="62"/>
      <c r="D48" s="62"/>
    </row>
    <row r="49" spans="1:4" x14ac:dyDescent="0.25">
      <c r="A49" s="46" t="s">
        <v>147</v>
      </c>
      <c r="B49" s="54" t="s">
        <v>171</v>
      </c>
      <c r="C49" s="46" t="s">
        <v>147</v>
      </c>
      <c r="D49" s="54" t="s">
        <v>171</v>
      </c>
    </row>
    <row r="50" spans="1:4" x14ac:dyDescent="0.25">
      <c r="A50" s="4" t="s">
        <v>172</v>
      </c>
      <c r="B50" s="38">
        <f>D44</f>
        <v>4131600</v>
      </c>
      <c r="C50" s="4" t="s">
        <v>157</v>
      </c>
      <c r="D50" s="38">
        <f>D34</f>
        <v>3517000</v>
      </c>
    </row>
    <row r="51" spans="1:4" x14ac:dyDescent="0.25">
      <c r="A51" s="4" t="s">
        <v>173</v>
      </c>
      <c r="B51" s="38">
        <f>30%*22000000</f>
        <v>6600000</v>
      </c>
      <c r="C51" s="4" t="s">
        <v>158</v>
      </c>
      <c r="D51" s="38">
        <f>C19</f>
        <v>400000</v>
      </c>
    </row>
    <row r="52" spans="1:4" x14ac:dyDescent="0.25">
      <c r="A52" s="4" t="s">
        <v>174</v>
      </c>
      <c r="B52" s="38">
        <f>5337000</f>
        <v>5337000</v>
      </c>
      <c r="C52" s="4" t="s">
        <v>176</v>
      </c>
      <c r="D52" s="38">
        <f>D14</f>
        <v>1850000</v>
      </c>
    </row>
    <row r="53" spans="1:4" x14ac:dyDescent="0.25">
      <c r="A53" s="4"/>
      <c r="B53" s="38"/>
      <c r="C53" s="4" t="s">
        <v>177</v>
      </c>
      <c r="D53" s="38">
        <v>1649600</v>
      </c>
    </row>
    <row r="54" spans="1:4" x14ac:dyDescent="0.25">
      <c r="A54" s="4"/>
      <c r="B54" s="38"/>
      <c r="C54" s="4" t="s">
        <v>178</v>
      </c>
      <c r="D54" s="38"/>
    </row>
    <row r="55" spans="1:4" x14ac:dyDescent="0.25">
      <c r="A55" s="4" t="s">
        <v>175</v>
      </c>
      <c r="B55" s="38">
        <v>6273000</v>
      </c>
      <c r="C55" s="4" t="s">
        <v>179</v>
      </c>
      <c r="D55" s="38">
        <v>4000000</v>
      </c>
    </row>
    <row r="56" spans="1:4" x14ac:dyDescent="0.25">
      <c r="A56" s="4"/>
      <c r="B56" s="38"/>
      <c r="C56" s="4" t="s">
        <v>180</v>
      </c>
      <c r="D56" s="38">
        <f>SOAL!D9</f>
        <v>10000000</v>
      </c>
    </row>
    <row r="57" spans="1:4" x14ac:dyDescent="0.25">
      <c r="A57" s="4"/>
      <c r="B57" s="38"/>
      <c r="C57" s="4" t="s">
        <v>142</v>
      </c>
      <c r="D57" s="38">
        <f>D17</f>
        <v>925000</v>
      </c>
    </row>
    <row r="58" spans="1:4" x14ac:dyDescent="0.25">
      <c r="A58" s="5" t="s">
        <v>182</v>
      </c>
      <c r="B58" s="40">
        <f>SUM(B50:B57)</f>
        <v>22341600</v>
      </c>
      <c r="C58" s="5" t="s">
        <v>181</v>
      </c>
      <c r="D58" s="40">
        <f>SUM(D50:D57)</f>
        <v>22341600</v>
      </c>
    </row>
    <row r="59" spans="1:4" x14ac:dyDescent="0.25">
      <c r="A59" t="s">
        <v>183</v>
      </c>
    </row>
    <row r="60" spans="1:4" x14ac:dyDescent="0.25">
      <c r="A60" t="s">
        <v>184</v>
      </c>
    </row>
    <row r="61" spans="1:4" x14ac:dyDescent="0.25">
      <c r="A61" t="s">
        <v>185</v>
      </c>
    </row>
    <row r="62" spans="1:4" x14ac:dyDescent="0.25">
      <c r="A62" t="s">
        <v>190</v>
      </c>
    </row>
    <row r="63" spans="1:4" x14ac:dyDescent="0.25">
      <c r="A63" t="s">
        <v>186</v>
      </c>
    </row>
    <row r="64" spans="1:4" x14ac:dyDescent="0.25">
      <c r="A64" t="s">
        <v>187</v>
      </c>
    </row>
    <row r="65" spans="1:1" x14ac:dyDescent="0.25">
      <c r="A65" t="s">
        <v>188</v>
      </c>
    </row>
    <row r="66" spans="1:1" x14ac:dyDescent="0.25">
      <c r="A66" t="s">
        <v>189</v>
      </c>
    </row>
  </sheetData>
  <mergeCells count="5">
    <mergeCell ref="A4:D4"/>
    <mergeCell ref="A23:D23"/>
    <mergeCell ref="A24:C24"/>
    <mergeCell ref="A48:D48"/>
    <mergeCell ref="A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SOAL</vt:lpstr>
      <vt:lpstr>Produksi</vt:lpstr>
      <vt:lpstr>ADM &amp; MARKETING</vt:lpstr>
      <vt:lpstr>LAP KEU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2020-06-26T14:18:06Z</dcterms:created>
  <dcterms:modified xsi:type="dcterms:W3CDTF">2020-06-30T15:12:47Z</dcterms:modified>
</cp:coreProperties>
</file>